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20" activeTab="20"/>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Т-пит'!$386:$387</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Т-пит'!$388:$389</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тарифов'!$79:$155</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тарифов'!$157:$171</definedName>
    <definedName name="BLOCK_PT_VOTV">'Перечень тарифов'!$173:$187</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территорий'!$E$63:$I$63</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тарифов'!$Z$12:$Z$189</definedName>
    <definedName name="DIFFERENTIATION_TARIFF_VD_ID">'Перечень тарифов'!$AB$12:$AB$189</definedName>
    <definedName name="DIFFERENTIATION_TARIFF_VTAR_ID">'Перечень тарифов'!$AA$12:$AA$189</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территорий'!$C$12:$C$63</definedName>
    <definedName name="pDel_LT_MO">'Список территорий'!$D$11:$D$63</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территорий'!$G$63</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Т-пит'!$T$385</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Т-пит'!$CU$37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Т-пит'!$43:$58</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тарифов'!$AL$12:$AL$189</definedName>
    <definedName name="PT_DIFFERENTIATION_CS_ID">'Перечень тарифов'!$AF$12:$AF$189</definedName>
    <definedName name="PT_DIFFERENTIATION_IST_TE">'Перечень тарифов'!$AM$12:$AM$189</definedName>
    <definedName name="PT_DIFFERENTIATION_IST_TE_ID">'Перечень тарифов'!$AG$12:$AG$189</definedName>
    <definedName name="PT_DIFFERENTIATION_NTAR">'Перечень тарифов'!$AJ$12:$AJ$189</definedName>
    <definedName name="PT_DIFFERENTIATION_NTAR_ID">'Перечень тарифов'!$AD$12:$AD$189</definedName>
    <definedName name="PT_DIFFERENTIATION_NUM_CS">'Перечень тарифов'!$AP$12:$AP$189</definedName>
    <definedName name="PT_DIFFERENTIATION_NUM_IST_TE">'Перечень тарифов'!$AQ$12:$AQ$189</definedName>
    <definedName name="PT_DIFFERENTIATION_NUM_NTAR">'Перечень тарифов'!$AN$12:$AN$189</definedName>
    <definedName name="PT_DIFFERENTIATION_NUM_TER">'Перечень тарифов'!$AO$12:$AO$189</definedName>
    <definedName name="PT_DIFFERENTIATION_TER">'Перечень тарифов'!$AK$12:$AK$189</definedName>
    <definedName name="PT_DIFFERENTIATION_TER_ID">'Перечень тарифов'!$AE$12:$AE$189</definedName>
    <definedName name="PT_DIFFERENTIATION_VDET">'Перечень тарифов'!$AI$12:$AI$189</definedName>
    <definedName name="PT_DIFFERENTIATION_VTAR">'Перечень тарифов'!$AH$12:$AH$189</definedName>
    <definedName name="PT_DIFFERENTIATION_VTAR_ID">'Перечень тарифов'!$AC$12:$AC$189</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Т-пит'!$41:$384</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Т-пит'!$42:$59</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тарифов'!$W$188</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Т-пит'!$CU$386</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территорий'!$I$64</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территорий'!$E$11:$I$63</definedName>
    <definedName name="TERRITORY_ID">TEHSHEET!$E$56</definedName>
    <definedName name="TERRITORY_LIST_ID">'Список территорий'!$F$11:$F$63</definedName>
    <definedName name="TERRITORY_MO_LIST">'Список территорий'!$H$11:$H$63</definedName>
    <definedName name="TERRITORY_MR_LIST">'Список территорий'!$G$11:$G$63</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REESTR_IP!$A$2:$I$4</definedName>
    <definedName name="VD_LIST">REESTR_VED!$A$2:$B$8</definedName>
    <definedName name="VD_ID_LIST">REESTR_VED!$A$2:$A$8</definedName>
    <definedName name="VD_NAME_LIST">REESTR_VED!$B$2:$B$8</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pt_ter_30">'ХВС. Т-пит'!$60:$77</definedName>
    <definedName name="pt_cs_30">'ХВС. Т-пит'!$61:$76</definedName>
    <definedName name="pt_ter_31">'ХВС. Т-пит'!$78:$95</definedName>
    <definedName name="pt_cs_31">'ХВС. Т-пит'!$79:$94</definedName>
    <definedName name="pt_ter_32">'ХВС. Т-пит'!$96:$113</definedName>
    <definedName name="pt_cs_32">'ХВС. Т-пит'!$97:$112</definedName>
    <definedName name="pt_ter_33">'ХВС. Т-пит'!$114:$131</definedName>
    <definedName name="pt_cs_33">'ХВС. Т-пит'!$115:$130</definedName>
    <definedName name="pt_ter_34">'ХВС. Т-пит'!$132:$169</definedName>
    <definedName name="pt_cs_34">'ХВС. Т-пит'!$133:$152</definedName>
    <definedName name="pt_cs_35">'ХВС. Т-пит'!$153:$168</definedName>
    <definedName name="pt_ter_35">'ХВС. Т-пит'!$170:$187</definedName>
    <definedName name="pt_cs_36">'ХВС. Т-пит'!$171:$186</definedName>
    <definedName name="pt_ter_36">'ХВС. Т-пит'!$188:$205</definedName>
    <definedName name="pt_cs_37">'ХВС. Т-пит'!$189:$204</definedName>
    <definedName name="pt_ter_37">'ХВС. Т-пит'!$206:$223</definedName>
    <definedName name="pt_cs_38">'ХВС. Т-пит'!$207:$222</definedName>
    <definedName name="pt_ter_38">'ХВС. Т-пит'!$224:$241</definedName>
    <definedName name="pt_cs_39">'ХВС. Т-пит'!$225:$240</definedName>
    <definedName name="pt_ter_39">'ХВС. Т-пит'!$242:$259</definedName>
    <definedName name="pt_cs_40">'ХВС. Т-пит'!$243:$258</definedName>
    <definedName name="pt_ter_40">'ХВС. Т-пит'!$260:$277</definedName>
    <definedName name="pt_cs_41">'ХВС. Т-пит'!$261:$276</definedName>
    <definedName name="pt_ter_41">'ХВС. Т-пит'!$278:$295</definedName>
    <definedName name="pt_cs_42">'ХВС. Т-пит'!$279:$294</definedName>
    <definedName name="pt_ter_42">'ХВС. Т-пит'!$296:$313</definedName>
    <definedName name="pt_cs_43">'ХВС. Т-пит'!$297:$312</definedName>
    <definedName name="pt_ter_43">'ХВС. Т-пит'!$314:$331</definedName>
    <definedName name="pt_cs_44">'ХВС. Т-пит'!$315:$330</definedName>
    <definedName name="pt_ter_44">'ХВС. Т-пит'!$332:$349</definedName>
    <definedName name="pt_cs_45">'ХВС. Т-пит'!$333:$348</definedName>
    <definedName name="pt_ter_45">'ХВС. Т-пит'!$350:$383</definedName>
    <definedName name="pt_cs_46">'ХВС. Т-пит'!$351:$366</definedName>
    <definedName name="DESCRIPTION_TERRITORY">REESTR_DS!$B$2:$B$18</definedName>
    <definedName name="pt_cs_47">'ХВС. Т-пит'!$367:$382</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<sst xmlns="http://schemas.openxmlformats.org/spreadsheetml/2006/main" count="19343" uniqueCount="4227">
  <si>
    <t xml:space="preserve"> (требуется обновление)</t>
  </si>
  <si>
    <t>Код отчёта: PP108.OPEN.INFO.PRICE.COLDVSNA.EIAS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</si>
  <si>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</si>
  <si>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</si>
  <si>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</si>
  <si>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</si>
  <si>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</si>
  <si>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</si>
  <si>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</si>
  <si>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</si>
  <si>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</si>
  <si>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</si>
  <si>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</si>
  <si>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28975327</t>
  </si>
  <si>
    <t>Flag_Row_Size</t>
  </si>
  <si>
    <t>Субъект РФ</t>
  </si>
  <si>
    <t>Курская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</si>
  <si>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</si>
  <si>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</si>
  <si>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</si>
  <si>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</si>
  <si>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</si>
  <si>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</si>
  <si>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</si>
  <si>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</si>
  <si>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</si>
  <si>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</si>
  <si>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</si>
  <si>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</si>
  <si>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</si>
  <si>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</si>
  <si>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</si>
  <si>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</si>
  <si>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</si>
  <si>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</si>
  <si>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</si>
  <si>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</si>
  <si>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</si>
  <si>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</si>
  <si>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</si>
  <si>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</si>
  <si>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149-вод</t>
  </si>
  <si>
    <t>Наименование органа регулирования, принявшего решение об утверждении тарифов</t>
  </si>
  <si>
    <t>Комитет по тарифам и ценам</t>
  </si>
  <si>
    <t>Источник официального опубликования решения</t>
  </si>
  <si>
    <t>Газета "Курская правда" №141-142 от 28.11.2023 г.</t>
  </si>
  <si>
    <t>Открывается, если Тип отчёта "изменения в раскрытой ранее информации"</t>
  </si>
  <si>
    <t>208-вод</t>
  </si>
  <si>
    <t>Наименование органа регулирования, принявшего решение об изменении тарифов</t>
  </si>
  <si>
    <t>Министерство по тарифам и ценам Курской области</t>
  </si>
  <si>
    <t>Газета "Курская правда" №155 от 26.12.2024 г.</t>
  </si>
  <si>
    <t>МУП ЖКХ "Родник"</t>
  </si>
  <si>
    <t>Наименование (описание) обособленного подразделения</t>
  </si>
  <si>
    <t>ИНН</t>
  </si>
  <si>
    <t>4611013586</t>
  </si>
  <si>
    <t>КПП</t>
  </si>
  <si>
    <t>461101001</t>
  </si>
  <si>
    <t>Тип теплоснабжающей организации</t>
  </si>
  <si>
    <t>Система налогообложения</t>
  </si>
  <si>
    <t>УСН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</si>
  <si>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</si>
  <si>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</si>
  <si>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</si>
  <si>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</si>
  <si>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</si>
  <si>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</si>
  <si>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</si>
  <si>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</si>
  <si>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</si>
  <si>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</si>
  <si>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</si>
  <si>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</si>
  <si>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</si>
  <si>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</si>
  <si>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305502 Курская область, Курский район, п. Маршала Жукова 6 квартал, дом 5</t>
  </si>
  <si>
    <t>Фамилия, имя, отчество руководителя</t>
  </si>
  <si>
    <t>Обухов Игорь Александрович</t>
  </si>
  <si>
    <t>Ответственный за заполнение формы</t>
  </si>
  <si>
    <t>Фамилия, имя, отчество</t>
  </si>
  <si>
    <t>Чуйкова Наталья Петровна</t>
  </si>
  <si>
    <t>Должность</t>
  </si>
  <si>
    <t>главный экономист</t>
  </si>
  <si>
    <t>Контактный телефон</t>
  </si>
  <si>
    <t>(4712)72-14-91</t>
  </si>
  <si>
    <t>E-mail</t>
  </si>
  <si>
    <t>rodnik411013586@yandex.ru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</si>
  <si>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</si>
  <si>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</si>
  <si>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</si>
  <si>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</si>
  <si>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</si>
  <si>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</si>
  <si>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</si>
  <si>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</si>
  <si>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</si>
  <si>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</si>
  <si>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</si>
  <si>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</si>
  <si>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</si>
  <si>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</si>
  <si>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</si>
  <si>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</si>
  <si>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</si>
  <si>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127</t>
  </si>
  <si>
    <t>Курский муниципальный район</t>
  </si>
  <si>
    <t>Бесединский сельсовет</t>
  </si>
  <si>
    <t>38620408</t>
  </si>
  <si>
    <t>Добавить МО</t>
  </si>
  <si>
    <t>2</t>
  </si>
  <si>
    <t>×</t>
  </si>
  <si>
    <t>ter_5</t>
  </si>
  <si>
    <t>128</t>
  </si>
  <si>
    <t>Брежневский сельсовет</t>
  </si>
  <si>
    <t>38620412</t>
  </si>
  <si>
    <t>ter_51</t>
  </si>
  <si>
    <t>129</t>
  </si>
  <si>
    <t>Винниковский сельсовет</t>
  </si>
  <si>
    <t>38620420</t>
  </si>
  <si>
    <t>ter_511</t>
  </si>
  <si>
    <t>130</t>
  </si>
  <si>
    <t>Ворошневский сельсовет</t>
  </si>
  <si>
    <t>38620424</t>
  </si>
  <si>
    <t>5</t>
  </si>
  <si>
    <t>ter_5111</t>
  </si>
  <si>
    <t>131</t>
  </si>
  <si>
    <t>Камышинский сельсовет</t>
  </si>
  <si>
    <t>38620426</t>
  </si>
  <si>
    <t>ter_51111</t>
  </si>
  <si>
    <t>132</t>
  </si>
  <si>
    <t>Клюквинский сельсовет</t>
  </si>
  <si>
    <t>38620428</t>
  </si>
  <si>
    <t>ter_511111</t>
  </si>
  <si>
    <t>134</t>
  </si>
  <si>
    <t>Лебяженский сельсовет</t>
  </si>
  <si>
    <t>38620432</t>
  </si>
  <si>
    <t>8</t>
  </si>
  <si>
    <t>ter_5111111</t>
  </si>
  <si>
    <t>135</t>
  </si>
  <si>
    <t>Моковский сельсовет</t>
  </si>
  <si>
    <t>38620436</t>
  </si>
  <si>
    <t>9</t>
  </si>
  <si>
    <t>ter_51111111</t>
  </si>
  <si>
    <t>136</t>
  </si>
  <si>
    <t>Нижнемедведицкий сельсовет</t>
  </si>
  <si>
    <t>38620448</t>
  </si>
  <si>
    <t>10</t>
  </si>
  <si>
    <t>ter_511111111</t>
  </si>
  <si>
    <t>137</t>
  </si>
  <si>
    <t>Новопоселеновский сельсовет</t>
  </si>
  <si>
    <t>38620452</t>
  </si>
  <si>
    <t>11</t>
  </si>
  <si>
    <t>ter_5111111111</t>
  </si>
  <si>
    <t>138</t>
  </si>
  <si>
    <t>Ноздрачевский сельсовет</t>
  </si>
  <si>
    <t>38620456</t>
  </si>
  <si>
    <t>12</t>
  </si>
  <si>
    <t>ter_51111111111</t>
  </si>
  <si>
    <t>139</t>
  </si>
  <si>
    <t>Пашковский сельсовет</t>
  </si>
  <si>
    <t>38620460</t>
  </si>
  <si>
    <t>13</t>
  </si>
  <si>
    <t>ter_511111111111</t>
  </si>
  <si>
    <t>140</t>
  </si>
  <si>
    <t>Полевской сельсовет</t>
  </si>
  <si>
    <t>38620468</t>
  </si>
  <si>
    <t>14</t>
  </si>
  <si>
    <t>ter_5111111111111</t>
  </si>
  <si>
    <t>141</t>
  </si>
  <si>
    <t>Полянский сельсовет</t>
  </si>
  <si>
    <t>38620472</t>
  </si>
  <si>
    <t>15</t>
  </si>
  <si>
    <t>ter_51111111111111</t>
  </si>
  <si>
    <t>142</t>
  </si>
  <si>
    <t>Рышковский сельсовет</t>
  </si>
  <si>
    <t>38620476</t>
  </si>
  <si>
    <t>16</t>
  </si>
  <si>
    <t>ter_511111111111111</t>
  </si>
  <si>
    <t>143</t>
  </si>
  <si>
    <t>Шумаковский сельсовет</t>
  </si>
  <si>
    <t>38620488</t>
  </si>
  <si>
    <t>17</t>
  </si>
  <si>
    <t>ter_5111111111111111</t>
  </si>
  <si>
    <t>144</t>
  </si>
  <si>
    <t>Щетинский сельсовет</t>
  </si>
  <si>
    <t>38620492</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</si>
  <si>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</si>
  <si>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</si>
  <si>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</si>
  <si>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</si>
  <si>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</si>
  <si>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</si>
  <si>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</si>
  <si>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</si>
  <si>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</si>
  <si>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</si>
  <si>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</si>
  <si>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</si>
  <si>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</si>
  <si>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</si>
  <si>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</si>
  <si>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</si>
  <si>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</si>
  <si>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</si>
  <si>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</si>
  <si>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</si>
  <si>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</si>
  <si>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</si>
  <si>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</si>
  <si>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</si>
  <si>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</si>
  <si>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</si>
  <si>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</si>
  <si>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</si>
  <si>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</si>
  <si>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</si>
  <si>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</si>
  <si>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</si>
  <si>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</si>
  <si>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</si>
  <si>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</si>
  <si>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</si>
  <si>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</si>
  <si>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</si>
  <si>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</si>
  <si>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</si>
  <si>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</si>
  <si>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</si>
  <si>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</si>
  <si>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</si>
  <si>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</si>
  <si>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</si>
  <si>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</si>
  <si>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</si>
  <si>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</si>
  <si>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</si>
  <si>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</si>
  <si>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</si>
  <si>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</si>
  <si>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</si>
  <si>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</si>
  <si>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</si>
  <si>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</si>
  <si>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</si>
  <si>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</si>
  <si>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</si>
  <si>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</si>
  <si>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</si>
  <si>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</si>
  <si>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</si>
  <si>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</si>
  <si>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</si>
  <si>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</si>
  <si>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</si>
  <si>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</si>
  <si>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</si>
  <si>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</si>
  <si>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</si>
  <si>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</si>
  <si>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</si>
  <si>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</si>
  <si>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</si>
  <si>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</si>
  <si>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</si>
  <si>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</si>
  <si>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</si>
  <si>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</si>
  <si>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</si>
  <si>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</si>
  <si>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</si>
  <si>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</si>
  <si>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</si>
  <si>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</si>
  <si>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</si>
  <si>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</si>
  <si>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</si>
  <si>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</si>
  <si>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</si>
  <si>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</si>
  <si>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</si>
  <si>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</si>
  <si>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</si>
  <si>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</si>
  <si>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</si>
  <si>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</si>
  <si>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</si>
  <si>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</si>
  <si>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</si>
  <si>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</si>
  <si>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</si>
  <si>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</si>
  <si>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</si>
  <si>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</si>
  <si>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</si>
  <si>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</si>
  <si>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</si>
  <si>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</si>
  <si>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Питьевая вода</t>
  </si>
  <si>
    <t>"4189671"</t>
  </si>
  <si>
    <t>pIns_PT_VTAR_A_COLDVSNA</t>
  </si>
  <si>
    <t>pt_ntar_9</t>
  </si>
  <si>
    <t>pt_ter_9</t>
  </si>
  <si>
    <t>pt_cs_9</t>
  </si>
  <si>
    <t>Добавить централизованную систему для дифференциации</t>
  </si>
  <si>
    <t>pt_ter_30</t>
  </si>
  <si>
    <t>pt_cs_30</t>
  </si>
  <si>
    <t>pt_ist_te_30</t>
  </si>
  <si>
    <t>pt_ter_31</t>
  </si>
  <si>
    <t>pt_cs_31</t>
  </si>
  <si>
    <t>pt_ist_te_31</t>
  </si>
  <si>
    <t>pt_ter_32</t>
  </si>
  <si>
    <t>pt_cs_32</t>
  </si>
  <si>
    <t>pt_ist_te_32</t>
  </si>
  <si>
    <t>pt_ter_33</t>
  </si>
  <si>
    <t>pt_cs_33</t>
  </si>
  <si>
    <t>pt_ist_te_33</t>
  </si>
  <si>
    <t>п. им. Маршала Жукова</t>
  </si>
  <si>
    <t>pt_ter_34</t>
  </si>
  <si>
    <t>pt_cs_34</t>
  </si>
  <si>
    <t>pt_ist_te_34</t>
  </si>
  <si>
    <t>кроме п. им. Маршала Жукова</t>
  </si>
  <si>
    <t>pt_cs_35</t>
  </si>
  <si>
    <t>pt_ist_te_35</t>
  </si>
  <si>
    <t>pt_ter_35</t>
  </si>
  <si>
    <t>pt_cs_36</t>
  </si>
  <si>
    <t>pt_ist_te_36</t>
  </si>
  <si>
    <t>pt_ter_36</t>
  </si>
  <si>
    <t>pt_cs_37</t>
  </si>
  <si>
    <t>pt_ist_te_37</t>
  </si>
  <si>
    <t>pt_ter_37</t>
  </si>
  <si>
    <t>pt_cs_38</t>
  </si>
  <si>
    <t>pt_ist_te_38</t>
  </si>
  <si>
    <t>pt_ter_38</t>
  </si>
  <si>
    <t>pt_cs_39</t>
  </si>
  <si>
    <t>pt_ist_te_39</t>
  </si>
  <si>
    <t>pt_ter_39</t>
  </si>
  <si>
    <t>pt_cs_40</t>
  </si>
  <si>
    <t>pt_ist_te_40</t>
  </si>
  <si>
    <t>pt_ter_40</t>
  </si>
  <si>
    <t>pt_cs_41</t>
  </si>
  <si>
    <t>pt_ist_te_41</t>
  </si>
  <si>
    <t>pt_ter_41</t>
  </si>
  <si>
    <t>pt_cs_42</t>
  </si>
  <si>
    <t>pt_ist_te_42</t>
  </si>
  <si>
    <t>pt_ter_42</t>
  </si>
  <si>
    <t>pt_cs_43</t>
  </si>
  <si>
    <t>pt_ist_te_43</t>
  </si>
  <si>
    <t>pt_ter_43</t>
  </si>
  <si>
    <t>pt_cs_44</t>
  </si>
  <si>
    <t>pt_ist_te_44</t>
  </si>
  <si>
    <t>pt_ter_44</t>
  </si>
  <si>
    <t>pt_cs_45</t>
  </si>
  <si>
    <t>pt_ist_te_45</t>
  </si>
  <si>
    <t>п. Искра</t>
  </si>
  <si>
    <t>pt_ter_45</t>
  </si>
  <si>
    <t>pt_cs_46</t>
  </si>
  <si>
    <t>pt_ist_te_46</t>
  </si>
  <si>
    <t>кроме п. Искра</t>
  </si>
  <si>
    <t>pt_cs_47</t>
  </si>
  <si>
    <t>pt_ist_te_47</t>
  </si>
  <si>
    <t>Добавить территорию для дифференциации</t>
  </si>
  <si>
    <t>Добавить наименование тарифа</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</si>
  <si>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</si>
  <si>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</si>
  <si>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</si>
  <si>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</si>
  <si>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</si>
  <si>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</si>
  <si>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</si>
  <si>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</si>
  <si>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</si>
  <si>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</si>
  <si>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</si>
  <si>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</si>
  <si>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</si>
  <si>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</si>
  <si>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</si>
  <si>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</si>
  <si>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</si>
  <si>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</si>
  <si>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</si>
  <si>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</si>
  <si>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</si>
  <si>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</si>
  <si>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</si>
  <si>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</si>
  <si>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</si>
  <si>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</si>
  <si>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</si>
  <si>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</si>
  <si>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</si>
  <si>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</si>
  <si>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</si>
  <si>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</si>
  <si>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</si>
  <si>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</si>
  <si>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</si>
  <si>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</si>
  <si>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</si>
  <si>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</si>
  <si>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</si>
  <si>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</si>
  <si>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</si>
  <si>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</si>
  <si>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</si>
  <si>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</si>
  <si>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</si>
  <si>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</si>
  <si>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</si>
  <si>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</si>
  <si>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</si>
  <si>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</si>
  <si>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</si>
  <si>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</si>
  <si>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</si>
  <si>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</si>
  <si>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</si>
  <si>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</si>
  <si>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</si>
  <si>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</si>
  <si>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</si>
  <si>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</si>
  <si>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</si>
  <si>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</si>
  <si>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</si>
  <si>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</si>
  <si>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</si>
  <si>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</si>
  <si>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</si>
  <si>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</si>
  <si>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</si>
  <si>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</si>
  <si>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</si>
  <si>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</si>
  <si>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</si>
  <si>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</si>
  <si>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</si>
  <si>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</si>
  <si>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</si>
  <si>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</si>
  <si>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</si>
  <si>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</si>
  <si>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</si>
  <si>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</si>
  <si>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</si>
  <si>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</si>
  <si>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</si>
  <si>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</si>
  <si>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</si>
  <si>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</si>
  <si>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</si>
  <si>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</si>
  <si>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</si>
  <si>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</si>
  <si>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</si>
  <si>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</si>
  <si>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</si>
  <si>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</si>
  <si>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</si>
  <si>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</si>
  <si>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</si>
  <si>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</si>
  <si>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</si>
  <si>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</si>
  <si>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</si>
  <si>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</si>
  <si>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</si>
  <si>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</si>
  <si>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</si>
  <si>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</si>
  <si>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</si>
  <si>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</si>
  <si>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</si>
  <si>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</si>
  <si>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</si>
  <si>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</si>
  <si>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</si>
  <si>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</si>
  <si>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</si>
  <si>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</si>
  <si>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</si>
  <si>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</si>
  <si>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</si>
  <si>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</si>
  <si>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</si>
  <si>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</si>
  <si>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</si>
  <si>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</si>
  <si>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</si>
  <si>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</si>
  <si>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</si>
  <si>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</si>
  <si>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</si>
  <si>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</si>
  <si>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</si>
  <si>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</si>
  <si>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</si>
  <si>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</si>
  <si>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</si>
  <si>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</si>
  <si>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</si>
  <si>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</si>
  <si>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</si>
  <si>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</si>
  <si>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</si>
  <si>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</si>
  <si>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</si>
  <si>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</si>
  <si>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</si>
  <si>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</si>
  <si>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</si>
  <si>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</si>
  <si>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</si>
  <si>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</si>
  <si>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</si>
  <si>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</si>
  <si>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</si>
  <si>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</si>
  <si>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</si>
  <si>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</si>
  <si>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</si>
  <si>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</si>
  <si>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</si>
  <si>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</si>
  <si>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</si>
  <si>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</si>
  <si>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</si>
  <si>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</si>
  <si>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</si>
  <si>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</si>
  <si>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</si>
  <si>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</si>
  <si>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</si>
  <si>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</si>
  <si>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</si>
  <si>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</si>
  <si>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</si>
  <si>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</si>
  <si>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</si>
  <si>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</si>
  <si>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</si>
  <si>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</si>
  <si>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</si>
  <si>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</si>
  <si>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</si>
  <si>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</si>
  <si>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</si>
  <si>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</si>
  <si>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</si>
  <si>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</si>
  <si>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</si>
  <si>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</si>
  <si>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</si>
  <si>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</si>
  <si>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</si>
  <si>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</si>
  <si>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</si>
  <si>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</si>
  <si>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</si>
  <si>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</si>
  <si>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</si>
  <si>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</si>
  <si>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</si>
  <si>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</si>
  <si>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</si>
  <si>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</si>
  <si>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</si>
  <si>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</si>
  <si>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</si>
  <si>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</si>
  <si>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</si>
  <si>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</si>
  <si>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</si>
  <si>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</si>
  <si>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</si>
  <si>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</si>
  <si>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</si>
  <si>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</si>
  <si>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</si>
  <si>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</si>
  <si>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</si>
  <si>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</si>
  <si>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</si>
  <si>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</si>
  <si>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</si>
  <si>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</si>
  <si>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</si>
  <si>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</si>
  <si>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</si>
  <si>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</si>
  <si>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</si>
  <si>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</si>
  <si>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</si>
  <si>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</si>
  <si>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</si>
  <si>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</si>
  <si>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</si>
  <si>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</si>
  <si>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</si>
  <si>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</si>
  <si>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</si>
  <si>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</si>
  <si>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</si>
  <si>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</si>
  <si>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</si>
  <si>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</si>
  <si>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</si>
  <si>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</si>
  <si>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</si>
  <si>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</si>
  <si>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</si>
  <si>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</si>
  <si>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</si>
  <si>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</si>
  <si>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</si>
  <si>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</si>
  <si>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</si>
  <si>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</si>
  <si>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</si>
  <si>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</si>
  <si>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</si>
  <si>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</si>
  <si>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</si>
  <si>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</si>
  <si>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</si>
  <si>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</si>
  <si>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население</t>
  </si>
  <si>
    <t>бюджетные организации</t>
  </si>
  <si>
    <t>прочие</t>
  </si>
  <si>
    <t>на цели приготовления горячей воды населению для АО "Газспецресурс"</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</si>
  <si>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</si>
  <si>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</si>
  <si>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</si>
  <si>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</si>
  <si>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</si>
  <si>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</si>
  <si>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</si>
  <si>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</si>
  <si>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</si>
  <si>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</si>
  <si>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</si>
  <si>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</si>
  <si>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</si>
  <si>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</si>
  <si>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</si>
  <si>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</si>
  <si>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</si>
  <si>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</si>
  <si>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</si>
  <si>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</si>
  <si>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</si>
  <si>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</si>
  <si>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</si>
  <si>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</si>
  <si>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</si>
  <si>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</si>
  <si>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</si>
  <si>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</si>
  <si>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</si>
  <si>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</si>
  <si>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</si>
  <si>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</si>
  <si>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</si>
  <si>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</si>
  <si>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</si>
  <si>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</si>
  <si>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</si>
  <si>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</si>
  <si>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</si>
  <si>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</si>
  <si>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</si>
  <si>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</si>
  <si>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</si>
  <si>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</si>
  <si>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</si>
  <si>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</si>
  <si>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</si>
  <si>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</si>
  <si>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</si>
  <si>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</si>
  <si>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</si>
  <si>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</si>
  <si>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</si>
  <si>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</si>
  <si>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</si>
  <si>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</si>
  <si>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</si>
  <si>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</si>
  <si>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</si>
  <si>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</si>
  <si>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</si>
  <si>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</si>
  <si>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</si>
  <si>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</si>
  <si>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</si>
  <si>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</si>
  <si>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</si>
  <si>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</si>
  <si>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</si>
  <si>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</si>
  <si>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</si>
  <si>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</si>
  <si>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</si>
  <si>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</si>
  <si>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</si>
  <si>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</si>
  <si>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</si>
  <si>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</si>
  <si>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</si>
  <si>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</si>
  <si>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</si>
  <si>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</si>
  <si>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</si>
  <si>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</si>
  <si>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</si>
  <si>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</si>
  <si>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</si>
  <si>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</si>
  <si>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</si>
  <si>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</si>
  <si>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</si>
  <si>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</si>
  <si>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</si>
  <si>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</si>
  <si>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</si>
  <si>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</si>
  <si>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</si>
  <si>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</si>
  <si>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</si>
  <si>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</si>
  <si>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</si>
  <si>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</si>
  <si>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</si>
  <si>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</si>
  <si>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</si>
  <si>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</si>
  <si>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</si>
  <si>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</si>
  <si>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</si>
  <si>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</si>
  <si>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</si>
  <si>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</si>
  <si>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</si>
  <si>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</si>
  <si>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</si>
  <si>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</si>
  <si>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</si>
  <si>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</si>
  <si>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</si>
  <si>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</si>
  <si>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</si>
  <si>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</si>
  <si>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</si>
  <si>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</si>
  <si>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</si>
  <si>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</si>
  <si>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</si>
  <si>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</si>
  <si>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</si>
  <si>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</si>
  <si>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</si>
  <si>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</si>
  <si>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</si>
  <si>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</si>
  <si>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</si>
  <si>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</si>
  <si>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</si>
  <si>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</si>
  <si>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</si>
  <si>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</si>
  <si>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</si>
  <si>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</si>
  <si>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</si>
  <si>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</si>
  <si>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</si>
  <si>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</si>
  <si>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</si>
  <si>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</si>
  <si>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</si>
  <si>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</si>
  <si>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</si>
  <si>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</si>
  <si>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</si>
  <si>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</si>
  <si>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</si>
  <si>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</si>
  <si>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</si>
  <si>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</si>
  <si>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</si>
  <si>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</si>
  <si>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</si>
  <si>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</si>
  <si>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</si>
  <si>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</si>
  <si>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</si>
  <si>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</si>
  <si>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</si>
  <si>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</si>
  <si>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</si>
  <si>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</si>
  <si>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</si>
  <si>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</si>
  <si>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</si>
  <si>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</si>
  <si>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</si>
  <si>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</si>
  <si>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</si>
  <si>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</si>
  <si>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</si>
  <si>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</si>
  <si>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</si>
  <si>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</si>
  <si>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</si>
  <si>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</si>
  <si>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</si>
  <si>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</si>
  <si>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</si>
  <si>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</si>
  <si>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</si>
  <si>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</si>
  <si>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</si>
  <si>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</si>
  <si>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</si>
  <si>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</si>
  <si>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</si>
  <si>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</si>
  <si>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</si>
  <si>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</si>
  <si>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</si>
  <si>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</si>
  <si>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</si>
  <si>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</si>
  <si>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</si>
  <si>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</si>
  <si>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</si>
  <si>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</si>
  <si>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</si>
  <si>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</si>
  <si>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</si>
  <si>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</si>
  <si>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</si>
  <si>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</si>
  <si>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</si>
  <si>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</si>
  <si>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</si>
  <si>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</si>
  <si>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</si>
  <si>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</si>
  <si>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</si>
  <si>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</si>
  <si>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</si>
  <si>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</si>
  <si>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</si>
  <si>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</si>
  <si>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</si>
  <si>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</si>
  <si>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</si>
  <si>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</si>
  <si>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</si>
  <si>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</si>
  <si>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</si>
  <si>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</si>
  <si>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</si>
  <si>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</si>
  <si>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</si>
  <si>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</si>
  <si>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</si>
  <si>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</si>
  <si>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</si>
  <si>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</si>
  <si>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</si>
  <si>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</si>
  <si>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</si>
  <si>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</si>
  <si>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</si>
  <si>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</si>
  <si>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</si>
  <si>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</si>
  <si>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</si>
  <si>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</si>
  <si>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</si>
  <si>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</si>
  <si>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</si>
  <si>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</si>
  <si>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</si>
  <si>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</si>
  <si>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</si>
  <si>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</si>
  <si>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</si>
  <si>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</si>
  <si>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</si>
  <si>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</si>
  <si>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</si>
  <si>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</si>
  <si>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</si>
  <si>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</si>
  <si>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</si>
  <si>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</si>
  <si>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</si>
  <si>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</si>
  <si>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</si>
  <si>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</si>
  <si>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</si>
  <si>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</si>
  <si>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</si>
  <si>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</si>
  <si>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</si>
  <si>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</si>
  <si>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</si>
  <si>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</si>
  <si>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</si>
  <si>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</si>
  <si>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</si>
  <si>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</si>
  <si>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</si>
  <si>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</si>
  <si>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</si>
  <si>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</si>
  <si>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</si>
  <si>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</si>
  <si>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</si>
  <si>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</si>
  <si>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</si>
  <si>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</si>
  <si>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</si>
  <si>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</si>
  <si>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</si>
  <si>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</si>
  <si>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</si>
  <si>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</si>
  <si>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</si>
  <si>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</si>
  <si>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</si>
  <si>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</si>
  <si>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</si>
  <si>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</si>
  <si>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</si>
  <si>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</si>
  <si>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</si>
  <si>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</si>
  <si>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</si>
  <si>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</si>
  <si>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</si>
  <si>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</si>
  <si>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</si>
  <si>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</si>
  <si>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</si>
  <si>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</si>
  <si>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</si>
  <si>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</si>
  <si>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</si>
  <si>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</si>
  <si>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</si>
  <si>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</si>
  <si>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</si>
  <si>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</si>
  <si>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</si>
  <si>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</si>
  <si>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</si>
  <si>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</si>
  <si>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</si>
  <si>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</si>
  <si>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</si>
  <si>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</si>
  <si>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</si>
  <si>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</si>
  <si>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</si>
  <si>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</si>
  <si>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</si>
  <si>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</si>
  <si>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</si>
  <si>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</si>
  <si>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</si>
  <si>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</si>
  <si>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</si>
  <si>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</si>
  <si>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</si>
  <si>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</si>
  <si>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</si>
  <si>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</si>
  <si>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</si>
  <si>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</si>
  <si>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</si>
  <si>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</si>
  <si>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</si>
  <si>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</si>
  <si>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</si>
  <si>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</si>
  <si>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</si>
  <si>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</si>
  <si>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</si>
  <si>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</si>
  <si>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</si>
  <si>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</si>
  <si>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</si>
  <si>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</si>
  <si>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</si>
  <si>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</si>
  <si>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</si>
  <si>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</si>
  <si>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</si>
  <si>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</si>
  <si>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</si>
  <si>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</si>
  <si>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</si>
  <si>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</si>
  <si>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</si>
  <si>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</si>
  <si>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</si>
  <si>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</si>
  <si>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</si>
  <si>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</si>
  <si>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</si>
  <si>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</si>
  <si>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</si>
  <si>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</si>
  <si>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</si>
  <si>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</si>
  <si>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</si>
  <si>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</si>
  <si>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</si>
  <si>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</si>
  <si>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</si>
  <si>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</si>
  <si>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</si>
  <si>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</si>
  <si>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</si>
  <si>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</si>
  <si>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</si>
  <si>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</si>
  <si>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</si>
  <si>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</si>
  <si>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</si>
  <si>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</si>
  <si>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</si>
  <si>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</si>
  <si>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</si>
  <si>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</si>
  <si>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</si>
  <si>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</si>
  <si>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</si>
  <si>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</si>
  <si>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</si>
  <si>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</si>
  <si>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</si>
  <si>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</si>
  <si>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</si>
  <si>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</si>
  <si>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</si>
  <si>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</si>
  <si>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</si>
  <si>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</si>
  <si>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</si>
  <si>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</si>
  <si>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</si>
  <si>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</si>
  <si>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</si>
  <si>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</si>
  <si>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</si>
  <si>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</si>
  <si>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</si>
  <si>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</si>
  <si>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</si>
  <si>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</si>
  <si>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</si>
  <si>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</si>
  <si>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</si>
  <si>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</si>
  <si>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</si>
  <si>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</si>
  <si>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</si>
  <si>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</si>
  <si>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</si>
  <si>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</si>
  <si>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</si>
  <si>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</si>
  <si>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</si>
  <si>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</si>
  <si>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</si>
  <si>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</si>
  <si>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</si>
  <si>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</si>
  <si>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</si>
  <si>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</si>
  <si>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</si>
  <si>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</si>
  <si>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</si>
  <si>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</si>
  <si>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</si>
  <si>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</si>
  <si>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</si>
  <si>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</si>
  <si>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</si>
  <si>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</si>
  <si>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</si>
  <si>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</si>
  <si>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</si>
  <si>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</si>
  <si>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</si>
  <si>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</si>
  <si>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</si>
  <si>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</si>
  <si>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</si>
  <si>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</si>
  <si>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</si>
  <si>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</si>
  <si>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</si>
  <si>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</si>
  <si>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</si>
  <si>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</si>
  <si>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</si>
  <si>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</si>
  <si>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</si>
  <si>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</si>
  <si>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</si>
  <si>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</si>
  <si>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</si>
  <si>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</si>
  <si>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</si>
  <si>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</si>
  <si>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</si>
  <si>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</si>
  <si>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</si>
  <si>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</si>
  <si>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</si>
  <si>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</si>
  <si>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</si>
  <si>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</si>
  <si>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</si>
  <si>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</si>
  <si>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</si>
  <si>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</si>
  <si>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</si>
  <si>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</si>
  <si>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</si>
  <si>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</si>
  <si>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</si>
  <si>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</si>
  <si>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</si>
  <si>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</si>
  <si>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</si>
  <si>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</si>
  <si>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</si>
  <si>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</si>
  <si>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</si>
  <si>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</si>
  <si>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</si>
  <si>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</si>
  <si>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</si>
  <si>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</si>
  <si>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</si>
  <si>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</si>
  <si>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</si>
  <si>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</si>
  <si>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</si>
  <si>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</si>
  <si>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</si>
  <si>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</si>
  <si>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</si>
  <si>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</si>
  <si>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</si>
  <si>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</si>
  <si>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</si>
  <si>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</si>
  <si>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</si>
  <si>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</si>
  <si>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</si>
  <si>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</si>
  <si>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</si>
  <si>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</si>
  <si>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</si>
  <si>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</si>
  <si>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</si>
  <si>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</si>
  <si>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</si>
  <si>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</si>
  <si>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</si>
  <si>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</si>
  <si>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</si>
  <si>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</si>
  <si>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</si>
  <si>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</si>
  <si>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</si>
  <si>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</si>
  <si>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</si>
  <si>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</si>
  <si>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</si>
  <si>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</si>
  <si>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</si>
  <si>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</si>
  <si>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</si>
  <si>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</si>
  <si>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</si>
  <si>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</si>
  <si>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</si>
  <si>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</si>
  <si>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</si>
  <si>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</si>
  <si>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</si>
  <si>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</si>
  <si>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</si>
  <si>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</si>
  <si>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</si>
  <si>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</si>
  <si>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</si>
  <si>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</si>
  <si>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</si>
  <si>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</si>
  <si>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</si>
  <si>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</si>
  <si>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</si>
  <si>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</si>
  <si>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</si>
  <si>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</si>
  <si>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</si>
  <si>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</si>
  <si>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</si>
  <si>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</si>
  <si>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</si>
  <si>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</si>
  <si>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</si>
  <si>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</si>
  <si>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</si>
  <si>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</si>
  <si>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</si>
  <si>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</si>
  <si>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</si>
  <si>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</si>
  <si>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</si>
  <si>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</si>
  <si>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</si>
  <si>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</si>
  <si>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</si>
  <si>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</si>
  <si>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</si>
  <si>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</si>
  <si>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</si>
  <si>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</si>
  <si>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</si>
  <si>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</si>
  <si>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</si>
  <si>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</si>
  <si>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</si>
  <si>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</si>
  <si>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</si>
  <si>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</si>
  <si>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</si>
  <si>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</si>
  <si>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</si>
  <si>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</si>
  <si>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</si>
  <si>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</si>
  <si>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</si>
  <si>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</si>
  <si>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</si>
  <si>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</si>
  <si>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</si>
  <si>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</si>
  <si>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</si>
  <si>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</si>
  <si>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</si>
  <si>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</si>
  <si>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</si>
  <si>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</si>
  <si>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</si>
  <si>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</si>
  <si>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</si>
  <si>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</si>
  <si>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</si>
  <si>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www:rodnik46.ru</t>
  </si>
  <si>
    <t>https://portal.eias.ru/Portal/DownloadPage.aspx?type=12&amp;guid=4c3dbb40-e992-4df8-89e1-d37d4cf6d12e</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</si>
  <si>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</si>
  <si>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https://portal.eias.ru/Portal/DownloadPage.aspx?type=12&amp;guid=7df6e930-02e6-4d15-963c-83ea5941df36</t>
  </si>
  <si>
    <t>Перечень документов и сведений, представляемых одновременно с заявкой о подключении к централизованной системе водоотведения, и указание на запрет требовать представления документов и сведений или осуществления действий, представление или осуществление ко</t>
  </si>
  <si>
    <t>https://portal.eias.ru/Portal/DownloadPage.aspx?type=12&amp;guid=32438626-28f0-40c8-b767-4a738236aa3c</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</si>
  <si>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</si>
  <si>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 416-ФЗ "О водоснабжении и водоотведении",  Правилами холодного водоснабжения и водоотведения, утвержденными Постановление Правительства РФ от 29.07.2013 г. №644, типовыми договорами о подключении (техническом присоединении) к центральной системе холодного водоснабжения иводоотведения, утвержденными Постановлением Правительства РФ от 29.07.2013 г. №645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</si>
  <si>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</si>
  <si>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</si>
  <si>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</si>
  <si>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</si>
  <si>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305502 Курская область, Курский район, п. Маршала Жукова, 6 квартал, дом 5</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</si>
  <si>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</si>
  <si>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с 09:00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</si>
  <si>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</si>
  <si>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</si>
  <si>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</si>
  <si>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</si>
  <si>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</si>
  <si>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</si>
  <si>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</si>
  <si>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</si>
  <si>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</si>
  <si>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</si>
  <si>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</si>
  <si>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</si>
  <si>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</si>
  <si>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</si>
  <si>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</si>
  <si>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</si>
  <si>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</si>
  <si>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</si>
  <si>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</si>
  <si>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</si>
  <si>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</si>
  <si>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</si>
  <si>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</si>
  <si>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</si>
  <si>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</si>
  <si>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</si>
  <si>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</si>
  <si>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</si>
  <si>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</si>
  <si>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</si>
  <si>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</si>
  <si>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</si>
  <si>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</si>
  <si>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</si>
  <si>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</si>
  <si>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</si>
  <si>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</si>
  <si>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</si>
  <si>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</si>
  <si>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</si>
  <si>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</si>
  <si>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</si>
  <si>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</si>
  <si>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</si>
  <si>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</si>
  <si>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</si>
  <si>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</si>
  <si>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</si>
  <si>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</si>
  <si>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</si>
  <si>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</si>
  <si>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</si>
  <si>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</si>
  <si>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</si>
  <si>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</si>
  <si>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</si>
  <si>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</si>
  <si>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</si>
  <si>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</si>
  <si>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</si>
  <si>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</si>
  <si>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</si>
  <si>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</si>
  <si>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</si>
  <si>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</si>
  <si>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</si>
  <si>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</si>
  <si>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ОСН</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</si>
  <si>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</si>
  <si>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</si>
  <si>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</si>
  <si>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</si>
  <si>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</si>
  <si>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</si>
  <si>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</si>
  <si>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</si>
  <si>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</si>
  <si>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</si>
  <si>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</si>
  <si>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</si>
  <si>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</si>
  <si>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</si>
  <si>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</si>
  <si>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</si>
  <si>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</si>
  <si>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</si>
  <si>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</si>
  <si>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</si>
  <si>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</si>
  <si>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</si>
  <si>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</si>
  <si>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</si>
  <si>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</si>
  <si>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</si>
  <si>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</si>
  <si>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</si>
  <si>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метод индексации установленных тарифов</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</si>
  <si>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</si>
  <si>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</si>
  <si>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</si>
  <si>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</si>
  <si>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</si>
  <si>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</si>
  <si>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</si>
  <si>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</si>
  <si>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</si>
  <si>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</si>
  <si>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</si>
  <si>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</si>
  <si>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</si>
  <si>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</si>
  <si>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</si>
  <si>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</si>
  <si>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</si>
  <si>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</si>
  <si>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</si>
  <si>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</si>
  <si>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</si>
  <si>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</si>
  <si>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</si>
  <si>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</si>
  <si>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</si>
  <si>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</si>
  <si>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</si>
  <si>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</si>
  <si>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</si>
  <si>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</si>
  <si>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</si>
  <si>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</si>
  <si>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</si>
  <si>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</si>
  <si>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</si>
  <si>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</si>
  <si>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</si>
  <si>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</si>
  <si>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</si>
  <si>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</si>
  <si>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</si>
  <si>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</si>
  <si>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</si>
  <si>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</si>
  <si>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</si>
  <si>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</si>
  <si>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</si>
  <si>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</si>
  <si>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</si>
  <si>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</si>
  <si>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</si>
  <si>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</si>
  <si>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</si>
  <si>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</si>
  <si>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</si>
  <si>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</si>
  <si>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</si>
  <si>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</si>
  <si>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</si>
  <si>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</si>
  <si>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</si>
  <si>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</si>
  <si>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</si>
  <si>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</si>
  <si>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</si>
  <si>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</si>
  <si>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</si>
  <si>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</si>
  <si>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</si>
  <si>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</si>
  <si>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</si>
  <si>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</si>
  <si>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</si>
  <si>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</si>
  <si>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</si>
  <si>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</si>
  <si>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</si>
  <si>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</si>
  <si>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</si>
  <si>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</si>
  <si>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</si>
  <si>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</si>
  <si>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</si>
  <si>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</si>
  <si>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</si>
  <si>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</si>
  <si>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</si>
  <si>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</si>
  <si>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</si>
  <si>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</si>
  <si>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</si>
  <si>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</si>
  <si>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</si>
  <si>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</si>
  <si>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</si>
  <si>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</si>
  <si>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</si>
  <si>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</si>
  <si>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</si>
  <si>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</si>
  <si>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</si>
  <si>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</si>
  <si>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</si>
  <si>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</si>
  <si>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</si>
  <si>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</si>
  <si>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</si>
  <si>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</si>
  <si>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</si>
  <si>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</si>
  <si>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</si>
  <si>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</si>
  <si>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</si>
  <si>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</si>
  <si>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</si>
  <si>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</si>
  <si>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</si>
  <si>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</si>
  <si>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</si>
  <si>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</si>
  <si>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</si>
  <si>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</si>
  <si>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</si>
  <si>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</si>
  <si>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</si>
  <si>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</si>
  <si>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</si>
  <si>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</si>
  <si>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</si>
  <si>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</si>
  <si>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</si>
  <si>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</si>
  <si>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</si>
  <si>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</si>
  <si>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</si>
  <si>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</si>
  <si>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</si>
  <si>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</si>
  <si>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</si>
  <si>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</si>
  <si>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</si>
  <si>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</si>
  <si>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</si>
  <si>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</si>
  <si>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</si>
  <si>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</si>
  <si>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</si>
  <si>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</si>
  <si>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</si>
  <si>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</si>
  <si>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</si>
  <si>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</si>
  <si>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</si>
  <si>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</si>
  <si>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</si>
  <si>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</si>
  <si>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</si>
  <si>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</si>
  <si>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</si>
  <si>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</si>
  <si>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</si>
  <si>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</si>
  <si>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</si>
  <si>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</si>
  <si>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</si>
  <si>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</si>
  <si>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</si>
  <si>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</si>
  <si>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</si>
  <si>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</si>
  <si>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</si>
  <si>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</si>
  <si>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</si>
  <si>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</si>
  <si>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</si>
  <si>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</si>
  <si>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</si>
  <si>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</si>
  <si>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</si>
  <si>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</si>
  <si>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</si>
  <si>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</si>
  <si>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</si>
  <si>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</si>
  <si>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</si>
  <si>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</si>
  <si>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</si>
  <si>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</si>
  <si>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</si>
  <si>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</si>
  <si>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</si>
  <si>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</si>
  <si>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</si>
  <si>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</si>
  <si>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</si>
  <si>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</si>
  <si>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</si>
  <si>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</si>
  <si>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</si>
  <si>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</si>
  <si>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</si>
  <si>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</si>
  <si>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</si>
  <si>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</si>
  <si>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</si>
  <si>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</si>
  <si>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</si>
  <si>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</si>
  <si>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</si>
  <si>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</si>
  <si>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</si>
  <si>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</si>
  <si>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</si>
  <si>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</si>
  <si>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</si>
  <si>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</si>
  <si>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</si>
  <si>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</si>
  <si>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</si>
  <si>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</si>
  <si>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</si>
  <si>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</si>
  <si>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</si>
  <si>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</si>
  <si>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</si>
  <si>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</si>
  <si>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</si>
  <si>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</si>
  <si>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</si>
  <si>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</si>
  <si>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</si>
  <si>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</si>
  <si>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</si>
  <si>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</si>
  <si>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</si>
  <si>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</si>
  <si>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</si>
  <si>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</si>
  <si>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</si>
  <si>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</si>
  <si>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</si>
  <si>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</si>
  <si>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</si>
  <si>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</si>
  <si>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</si>
  <si>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</si>
  <si>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</si>
  <si>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</si>
  <si>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</si>
  <si>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</si>
  <si>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</si>
  <si>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</si>
  <si>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</si>
  <si>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</si>
  <si>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</si>
  <si>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</si>
  <si>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</si>
  <si>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</si>
  <si>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</si>
  <si>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</si>
  <si>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</si>
  <si>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</si>
  <si>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</si>
  <si>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</si>
  <si>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</si>
  <si>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</si>
  <si>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</si>
  <si>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</si>
  <si>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</si>
  <si>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</si>
  <si>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</si>
  <si>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</si>
  <si>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</si>
  <si>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</si>
  <si>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</si>
  <si>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</si>
  <si>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</si>
  <si>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</si>
  <si>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</si>
  <si>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</si>
  <si>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</si>
  <si>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</si>
  <si>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</si>
  <si>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</si>
  <si>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</si>
  <si>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</si>
  <si>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</si>
  <si>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</si>
  <si>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</si>
  <si>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</si>
  <si>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</si>
  <si>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</si>
  <si>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</si>
  <si>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</si>
  <si>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</si>
  <si>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</si>
  <si>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</si>
  <si>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</si>
  <si>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</si>
  <si>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</si>
  <si>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</si>
  <si>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</si>
  <si>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</si>
  <si>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</si>
  <si>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</si>
  <si>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</si>
  <si>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</si>
  <si>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</si>
  <si>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</si>
  <si>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</si>
  <si>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</si>
  <si>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</si>
  <si>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</si>
  <si>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</si>
  <si>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</si>
  <si>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</si>
  <si>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</si>
  <si>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</si>
  <si>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</si>
  <si>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</si>
  <si>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</si>
  <si>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</si>
  <si>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</si>
  <si>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</si>
  <si>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</si>
  <si>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</si>
  <si>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</si>
  <si>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</si>
  <si>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</si>
  <si>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</si>
  <si>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</si>
  <si>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</si>
  <si>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</si>
  <si>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</si>
  <si>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</si>
  <si>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</si>
  <si>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</si>
  <si>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</si>
  <si>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</si>
  <si>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</si>
  <si>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</si>
  <si>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</si>
  <si>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</si>
  <si>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</si>
  <si>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</si>
  <si>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</si>
  <si>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</si>
  <si>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</si>
  <si>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</si>
  <si>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</si>
  <si>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</si>
  <si>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</si>
  <si>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</si>
  <si>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</si>
  <si>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</si>
  <si>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</si>
  <si>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</si>
  <si>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</si>
  <si>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</si>
  <si>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</si>
  <si>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</si>
  <si>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</si>
  <si>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</si>
  <si>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</si>
  <si>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</si>
  <si>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</si>
  <si>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</si>
  <si>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</si>
  <si>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</si>
  <si>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</si>
  <si>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</si>
  <si>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</si>
  <si>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</si>
  <si>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</si>
  <si>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</si>
  <si>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</si>
  <si>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</si>
  <si>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</si>
  <si>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</si>
  <si>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</si>
  <si>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</si>
  <si>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</si>
  <si>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</si>
  <si>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</si>
  <si>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</si>
  <si>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</si>
  <si>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</si>
  <si>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</si>
  <si>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</si>
  <si>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</si>
  <si>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</si>
  <si>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</si>
  <si>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</si>
  <si>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</si>
  <si>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</si>
  <si>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</si>
  <si>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</si>
  <si>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</si>
  <si>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</si>
  <si>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</si>
  <si>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</si>
  <si>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</si>
  <si>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</si>
  <si>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</si>
  <si>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</si>
  <si>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</si>
  <si>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</si>
  <si>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</si>
  <si>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</si>
  <si>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</si>
  <si>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</si>
  <si>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</si>
  <si>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</si>
  <si>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</si>
  <si>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</si>
  <si>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</si>
  <si>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</si>
  <si>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</si>
  <si>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</si>
  <si>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</si>
  <si>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</si>
  <si>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</si>
  <si>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</si>
  <si>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</si>
  <si>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</si>
  <si>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</si>
  <si>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</si>
  <si>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</si>
  <si>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</si>
  <si>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</si>
  <si>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</si>
  <si>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</si>
  <si>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</si>
  <si>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</si>
  <si>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</si>
  <si>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</si>
  <si>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</si>
  <si>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</si>
  <si>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</si>
  <si>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</si>
  <si>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</si>
  <si>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</si>
  <si>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</si>
  <si>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</si>
  <si>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</si>
  <si>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</si>
  <si>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</si>
  <si>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</si>
  <si>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</si>
  <si>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</si>
  <si>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</si>
  <si>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</si>
  <si>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</si>
  <si>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</si>
  <si>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</si>
  <si>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</si>
  <si>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</si>
  <si>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</si>
  <si>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</si>
  <si>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</si>
  <si>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</si>
  <si>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</si>
  <si>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</si>
  <si>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</si>
  <si>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</si>
  <si>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</si>
  <si>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</si>
  <si>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</si>
  <si>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</si>
  <si>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</si>
  <si>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</si>
  <si>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</si>
  <si>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</si>
  <si>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</si>
  <si>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</si>
  <si>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</si>
  <si>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</si>
  <si>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</si>
  <si>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</si>
  <si>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</si>
  <si>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</si>
  <si>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</si>
  <si>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</si>
  <si>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</si>
  <si>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</si>
  <si>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</si>
  <si>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</si>
  <si>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</si>
  <si>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</si>
  <si>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</si>
  <si>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</si>
  <si>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</si>
  <si>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</si>
  <si>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</si>
  <si>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</si>
  <si>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</si>
  <si>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</si>
  <si>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</si>
  <si>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</si>
  <si>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</si>
  <si>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</si>
  <si>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</si>
  <si>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</si>
  <si>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</si>
  <si>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</si>
  <si>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</si>
  <si>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</si>
  <si>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</si>
  <si>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</si>
  <si>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</si>
  <si>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</si>
  <si>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</si>
  <si>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</si>
  <si>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</si>
  <si>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</si>
  <si>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</si>
  <si>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</si>
  <si>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</si>
  <si>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</si>
  <si>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</si>
  <si>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</si>
  <si>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</si>
  <si>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</si>
  <si>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</si>
  <si>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</si>
  <si>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</si>
  <si>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</si>
  <si>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</si>
  <si>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</si>
  <si>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</si>
  <si>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</si>
  <si>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</si>
  <si>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</si>
  <si>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</si>
  <si>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</si>
  <si>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</si>
  <si>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</si>
  <si>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</si>
  <si>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</si>
  <si>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</si>
  <si>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</si>
  <si>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</si>
  <si>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</si>
  <si>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</si>
  <si>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</si>
  <si>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</si>
  <si>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</si>
  <si>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</si>
  <si>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</si>
  <si>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</si>
  <si>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</si>
  <si>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</si>
  <si>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</si>
  <si>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</si>
  <si>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</si>
  <si>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</si>
  <si>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</si>
  <si>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</si>
  <si>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</si>
  <si>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</si>
  <si>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</si>
  <si>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</si>
  <si>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</si>
  <si>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</si>
  <si>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</si>
  <si>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</si>
  <si>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</si>
  <si>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</si>
  <si>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</si>
  <si>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</si>
  <si>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</si>
  <si>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</si>
  <si>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</si>
  <si>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</si>
  <si>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</si>
  <si>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</si>
  <si>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</si>
  <si>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</si>
  <si>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</si>
  <si>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</si>
  <si>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</si>
  <si>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</si>
  <si>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</si>
  <si>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</si>
  <si>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</si>
  <si>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</si>
  <si>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</si>
  <si>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</si>
  <si>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</si>
  <si>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</si>
  <si>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</si>
  <si>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</si>
  <si>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</si>
  <si>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</si>
  <si>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</si>
  <si>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</si>
  <si>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</si>
  <si>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</si>
  <si>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</si>
  <si>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</si>
  <si>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</si>
  <si>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</si>
  <si>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</si>
  <si>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</si>
  <si>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</si>
  <si>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</si>
  <si>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</si>
  <si>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</si>
  <si>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</si>
  <si>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</si>
  <si>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</si>
  <si>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</si>
  <si>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</si>
  <si>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</si>
  <si>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</si>
  <si>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</si>
  <si>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</si>
  <si>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</si>
  <si>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</si>
  <si>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</si>
  <si>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</si>
  <si>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</si>
  <si>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</si>
  <si>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</si>
  <si>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</si>
  <si>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</si>
  <si>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</si>
  <si>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</si>
  <si>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</si>
  <si>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</si>
  <si>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</si>
  <si>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</si>
  <si>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</si>
  <si>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</si>
  <si>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</si>
  <si>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</si>
  <si>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</si>
  <si>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</si>
  <si>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</si>
  <si>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</si>
  <si>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</si>
  <si>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</si>
  <si>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</si>
  <si>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</si>
  <si>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</si>
  <si>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</si>
  <si>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</si>
  <si>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</si>
  <si>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</si>
  <si>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</si>
  <si>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</si>
  <si>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</si>
  <si>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 xml:space="preserve">На основании постановления министерства по тарифам и ценам Курской области от 19.12.2024 №208-вод внесены изменения в постановления комитета по тарифам и ценам Курской области от 16.11.2023 №149-вод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</si>
  <si>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</si>
  <si>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</si>
  <si>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</si>
  <si>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</si>
  <si>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</si>
  <si>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</si>
  <si>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</si>
  <si>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</si>
  <si>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</si>
  <si>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</si>
  <si>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</si>
  <si>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</si>
  <si>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</si>
  <si>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</si>
  <si>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</si>
  <si>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</si>
  <si>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</si>
  <si>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</si>
  <si>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</si>
  <si>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</si>
  <si>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</si>
  <si>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</si>
  <si>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</si>
  <si>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</si>
  <si>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</si>
  <si>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</si>
  <si>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</si>
  <si>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</si>
  <si>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</si>
  <si>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</si>
  <si>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</si>
  <si>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</si>
  <si>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</si>
  <si>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</si>
  <si>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</si>
  <si>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</si>
  <si>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</si>
  <si>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</si>
  <si>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</si>
  <si>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</si>
  <si>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</si>
  <si>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</si>
  <si>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</si>
  <si>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</si>
  <si>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</si>
  <si>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</si>
  <si>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</si>
  <si>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</si>
  <si>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</si>
  <si>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</si>
  <si>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</si>
  <si>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</si>
  <si>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</si>
  <si>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</si>
  <si>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</si>
  <si>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</si>
  <si>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</si>
  <si>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</si>
  <si>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</si>
  <si>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</si>
  <si>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</si>
  <si>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</si>
  <si>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</si>
  <si>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</si>
  <si>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</si>
  <si>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</si>
  <si>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</si>
  <si>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</si>
  <si>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</si>
  <si>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</si>
  <si>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</si>
  <si>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</si>
  <si>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</si>
  <si>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</si>
  <si>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</si>
  <si>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</si>
  <si>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</si>
  <si>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</si>
  <si>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</si>
  <si>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</si>
  <si>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</si>
  <si>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</si>
  <si>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</si>
  <si>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</si>
  <si>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</si>
  <si>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</si>
  <si>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</si>
  <si>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</si>
  <si>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</si>
  <si>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</si>
  <si>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</si>
  <si>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</si>
  <si>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</si>
  <si>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</si>
  <si>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</si>
  <si>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</si>
  <si>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</si>
  <si>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</si>
  <si>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</si>
  <si>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</si>
  <si>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</si>
  <si>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</si>
  <si>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</si>
  <si>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</si>
  <si>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</si>
  <si>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</si>
  <si>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</si>
  <si>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</si>
  <si>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</si>
  <si>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</si>
  <si>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</si>
  <si>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</si>
  <si>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</si>
  <si>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</si>
  <si>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</si>
  <si>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</si>
  <si>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</si>
  <si>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</si>
  <si>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</si>
  <si>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</si>
  <si>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</si>
  <si>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</si>
  <si>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</si>
  <si>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</si>
  <si>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</si>
  <si>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</si>
  <si>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</si>
  <si>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</si>
  <si>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</si>
  <si>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</si>
  <si>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</si>
  <si>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</si>
  <si>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</si>
  <si>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</si>
  <si>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</si>
  <si>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</si>
  <si>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</si>
  <si>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</si>
  <si>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</si>
  <si>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</si>
  <si>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</si>
  <si>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</si>
  <si>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</si>
  <si>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</si>
  <si>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</si>
  <si>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</si>
  <si>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</si>
  <si>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</si>
  <si>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</si>
  <si>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</si>
  <si>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</si>
  <si>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</si>
  <si>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</si>
  <si>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</si>
  <si>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</si>
  <si>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</si>
  <si>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</si>
  <si>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</si>
  <si>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</si>
  <si>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</si>
  <si>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</si>
  <si>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</si>
  <si>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</si>
  <si>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</si>
  <si>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</si>
  <si>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</si>
  <si>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</si>
  <si>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</si>
  <si>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</si>
  <si>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</si>
  <si>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</si>
  <si>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</si>
  <si>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</si>
  <si>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</si>
  <si>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</si>
  <si>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</si>
  <si>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</si>
  <si>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</si>
  <si>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</si>
  <si>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</si>
  <si>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</si>
  <si>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</si>
  <si>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</si>
  <si>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</si>
  <si>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</si>
  <si>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</si>
  <si>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</si>
  <si>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</si>
  <si>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</si>
  <si>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</si>
  <si>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</si>
  <si>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</si>
  <si>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</si>
  <si>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</si>
  <si>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</si>
  <si>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</si>
  <si>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</si>
  <si>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</si>
  <si>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</si>
  <si>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</si>
  <si>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</si>
  <si>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</si>
  <si>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</si>
  <si>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</si>
  <si>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</si>
  <si>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</si>
  <si>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</si>
  <si>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</si>
  <si>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</si>
  <si>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</si>
  <si>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</si>
  <si>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</si>
  <si>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</si>
  <si>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</si>
  <si>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</si>
  <si>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</si>
  <si>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</si>
  <si>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</si>
  <si>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</si>
  <si>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</si>
  <si>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</si>
  <si>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</si>
  <si>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</si>
  <si>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</si>
  <si>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</si>
  <si>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</si>
  <si>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</si>
  <si>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</si>
  <si>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</si>
  <si>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</si>
  <si>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</si>
  <si>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</si>
  <si>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</si>
  <si>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</si>
  <si>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</si>
  <si>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</si>
  <si>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</si>
  <si>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</si>
  <si>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</si>
  <si>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</si>
  <si>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</si>
  <si>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</si>
  <si>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</si>
  <si>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</si>
  <si>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</si>
  <si>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</si>
  <si>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</si>
  <si>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</si>
  <si>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</si>
  <si>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</si>
  <si>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</si>
  <si>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</si>
  <si>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</si>
  <si>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</si>
  <si>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</si>
  <si>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</si>
  <si>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</si>
  <si>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</si>
  <si>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</si>
  <si>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</si>
  <si>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</si>
  <si>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</si>
  <si>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</si>
  <si>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</si>
  <si>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</si>
  <si>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</si>
  <si>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</si>
  <si>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</si>
  <si>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</si>
  <si>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</si>
  <si>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</si>
  <si>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</si>
  <si>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</si>
  <si>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</si>
  <si>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</si>
  <si>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</si>
  <si>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</si>
  <si>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</si>
  <si>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</si>
  <si>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</si>
  <si>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</si>
  <si>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</si>
  <si>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</si>
  <si>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</si>
  <si>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</si>
  <si>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</si>
  <si>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</si>
  <si>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</si>
  <si>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</si>
  <si>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</si>
  <si>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</si>
  <si>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</si>
  <si>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</si>
  <si>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</si>
  <si>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</si>
  <si>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</si>
  <si>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</si>
  <si>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</si>
  <si>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</si>
  <si>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</si>
  <si>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</si>
  <si>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</si>
  <si>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</si>
  <si>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</si>
  <si>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</si>
  <si>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</si>
  <si>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</si>
  <si>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</si>
  <si>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</si>
  <si>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</si>
  <si>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</si>
  <si>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</si>
  <si>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</si>
  <si>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</si>
  <si>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</si>
  <si>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</si>
  <si>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</si>
  <si>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</si>
  <si>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</si>
  <si>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</si>
  <si>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</si>
  <si>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</si>
  <si>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</si>
  <si>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</si>
  <si>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</si>
  <si>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</si>
  <si>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</si>
  <si>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</si>
  <si>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</si>
  <si>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</si>
  <si>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</si>
  <si>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</si>
  <si>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</si>
  <si>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</si>
  <si>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</si>
  <si>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</si>
  <si>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</si>
  <si>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</si>
  <si>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</si>
  <si>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</si>
  <si>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</si>
  <si>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</si>
  <si>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</si>
  <si>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</si>
  <si>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</si>
  <si>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</si>
  <si>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</si>
  <si>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</si>
  <si>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</si>
  <si>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</si>
  <si>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2594</t>
  </si>
  <si>
    <t>31526383</t>
  </si>
  <si>
    <t>"Теткинское МУП ЖКХ"</t>
  </si>
  <si>
    <t>4603009064</t>
  </si>
  <si>
    <t>460301001</t>
  </si>
  <si>
    <t>31457162</t>
  </si>
  <si>
    <t>АО "ГАЗСПЕЦРЕСУРС"</t>
  </si>
  <si>
    <t>4611016308</t>
  </si>
  <si>
    <t>17-11-2020 00:00:00</t>
  </si>
  <si>
    <t>30876295</t>
  </si>
  <si>
    <t>АО "ККХП"</t>
  </si>
  <si>
    <t>4630001280</t>
  </si>
  <si>
    <t>463201001</t>
  </si>
  <si>
    <t>12-01-2017 00:00:00</t>
  </si>
  <si>
    <t>26526453</t>
  </si>
  <si>
    <t>АО "Квадра" (АО "Квадра" - "Белгородская генерация")</t>
  </si>
  <si>
    <t>6829012680</t>
  </si>
  <si>
    <t>312343001</t>
  </si>
  <si>
    <t>26519767</t>
  </si>
  <si>
    <t>АО "Квадра" (филиал "Курская генерация")</t>
  </si>
  <si>
    <t>463243001</t>
  </si>
  <si>
    <t>26506537</t>
  </si>
  <si>
    <t>АО "Концерн Росэнергоатом" (филиал "Курская атомная станция")</t>
  </si>
  <si>
    <t>7721632827</t>
  </si>
  <si>
    <t>463443001</t>
  </si>
  <si>
    <t>31226876</t>
  </si>
  <si>
    <t>АО "Курская строительная компания "Новый курс"</t>
  </si>
  <si>
    <t>4629043694</t>
  </si>
  <si>
    <t>02-08-2018 00:00:00</t>
  </si>
  <si>
    <t>31412878</t>
  </si>
  <si>
    <t>АО "Михайловский ГОК  им. А.В. Варичева"</t>
  </si>
  <si>
    <t>4633001577</t>
  </si>
  <si>
    <t>997550001</t>
  </si>
  <si>
    <t>20-03-2020 00:00:00</t>
  </si>
  <si>
    <t>26838066</t>
  </si>
  <si>
    <t>АО "РЭУ"</t>
  </si>
  <si>
    <t>7714783092</t>
  </si>
  <si>
    <t>770401001</t>
  </si>
  <si>
    <t>26357430</t>
  </si>
  <si>
    <t>АО "Сахарный комбинат Льговский"</t>
  </si>
  <si>
    <t>4613005502</t>
  </si>
  <si>
    <t>461301001</t>
  </si>
  <si>
    <t>28160056</t>
  </si>
  <si>
    <t>АО "ТЭСК"</t>
  </si>
  <si>
    <t>4632121159</t>
  </si>
  <si>
    <t>31424123</t>
  </si>
  <si>
    <t>АО "ЭЛЕКТРОАГРЕГАТ"</t>
  </si>
  <si>
    <t>4631005223</t>
  </si>
  <si>
    <t>27653101</t>
  </si>
  <si>
    <t>АУ КО "Редакция газеты "Беловские Зори"</t>
  </si>
  <si>
    <t>4601003540</t>
  </si>
  <si>
    <t>460101001</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</si>
  <si>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</si>
  <si>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</si>
  <si>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</si>
  <si>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</si>
  <si>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26520355</t>
  </si>
  <si>
    <t>Брянский территориальный участок Московской дирекции по тепловодоснабжению – структурного подразделения Центральной дирекции по тепловодоснабжению – филиала ОАО «РЖД»</t>
  </si>
  <si>
    <t>463201002</t>
  </si>
  <si>
    <t>26373212</t>
  </si>
  <si>
    <t>ГУПКО "Курскоблжилкомхоз"</t>
  </si>
  <si>
    <t>4632024035</t>
  </si>
  <si>
    <t>31651696</t>
  </si>
  <si>
    <t>ИП Рустем Мансур Исмаилович</t>
  </si>
  <si>
    <t>461109152080</t>
  </si>
  <si>
    <t>КОМИТЕТ ПО ТАРИФАМ И ЦЕНАМ КУРСКОЙ ОБЛАСТИ</t>
  </si>
  <si>
    <t>4632053780</t>
  </si>
  <si>
    <t>30941921</t>
  </si>
  <si>
    <t>Курский завод "Маяк" - филиал АО "Нижегородское научно-производственное объединение имени М.В.Фрунзе"</t>
  </si>
  <si>
    <t>5261077695</t>
  </si>
  <si>
    <t>12-07-2017 00:00:00</t>
  </si>
  <si>
    <t>30843089</t>
  </si>
  <si>
    <t>МКУ "Управление обеспечения деятельности органов местного самоуправления"</t>
  </si>
  <si>
    <t>4622005001</t>
  </si>
  <si>
    <t>462201001</t>
  </si>
  <si>
    <t>01-10-2016 00:00:00</t>
  </si>
  <si>
    <t>31699224</t>
  </si>
  <si>
    <t>МКУ «ОДА поселка Кшенский»</t>
  </si>
  <si>
    <t>4621009155</t>
  </si>
  <si>
    <t>462101001</t>
  </si>
  <si>
    <t>01-02-2023 00:00:00</t>
  </si>
  <si>
    <t>31334806</t>
  </si>
  <si>
    <t>МУП "Глушковское ЖКХ"</t>
  </si>
  <si>
    <t>4603004186</t>
  </si>
  <si>
    <t>31-07-2019 00:00:00</t>
  </si>
  <si>
    <t>26357464</t>
  </si>
  <si>
    <t>МУП "Городские тепловые сети" МО  "город Курчатов"</t>
  </si>
  <si>
    <t>4634002573</t>
  </si>
  <si>
    <t>463401001</t>
  </si>
  <si>
    <t>26357452</t>
  </si>
  <si>
    <t>МУП "Гортеплосеть"</t>
  </si>
  <si>
    <t>4632000330</t>
  </si>
  <si>
    <t>26357458</t>
  </si>
  <si>
    <t>МУП "Гортеплосеть" города Железногорска</t>
  </si>
  <si>
    <t>4633002394</t>
  </si>
  <si>
    <t>463301001</t>
  </si>
  <si>
    <t>26373218</t>
  </si>
  <si>
    <t>МУП "Иванинское ЖКХ"</t>
  </si>
  <si>
    <t>4634008455</t>
  </si>
  <si>
    <t>28829517</t>
  </si>
  <si>
    <t>МУП "Кшенское" поселка Кшенский</t>
  </si>
  <si>
    <t>4621009099</t>
  </si>
  <si>
    <t>28967472</t>
  </si>
  <si>
    <t>МУП "Районное коммунальное хозяйство"</t>
  </si>
  <si>
    <t>4633037132</t>
  </si>
  <si>
    <t>31625749</t>
  </si>
  <si>
    <t>МУП "Теплосервис"</t>
  </si>
  <si>
    <t>4626006422</t>
  </si>
  <si>
    <t>462601001</t>
  </si>
  <si>
    <t>01-08-2022 00:00:00</t>
  </si>
  <si>
    <t>31461777</t>
  </si>
  <si>
    <t>МУП "Теплосеть"</t>
  </si>
  <si>
    <t>4610006900</t>
  </si>
  <si>
    <t>461001001</t>
  </si>
  <si>
    <t>15-05-2008 00:00:00</t>
  </si>
  <si>
    <t>31521250</t>
  </si>
  <si>
    <t>МУП "Хомутовское ЖКХ"</t>
  </si>
  <si>
    <t>4626006380</t>
  </si>
  <si>
    <t>19-10-2021 00:00:00</t>
  </si>
  <si>
    <t>26357443</t>
  </si>
  <si>
    <t>МУП КЭТС г.Суджа</t>
  </si>
  <si>
    <t>4623002116</t>
  </si>
  <si>
    <t>462301001</t>
  </si>
  <si>
    <t>26357449</t>
  </si>
  <si>
    <t>ОАО "Геомаш" города Щигры</t>
  </si>
  <si>
    <t>4628000962</t>
  </si>
  <si>
    <t>462801001</t>
  </si>
  <si>
    <t>26319324</t>
  </si>
  <si>
    <t>ОАО "Курскрезинотехника"</t>
  </si>
  <si>
    <t>4632001454</t>
  </si>
  <si>
    <t>463250001</t>
  </si>
  <si>
    <t>26597746</t>
  </si>
  <si>
    <t>ОАО "Технотекс"</t>
  </si>
  <si>
    <t>4631000955</t>
  </si>
  <si>
    <t>28153332</t>
  </si>
  <si>
    <t>ОАО "Электроагрегат"</t>
  </si>
  <si>
    <t>28008001</t>
  </si>
  <si>
    <t>ООО  "Афродита"</t>
  </si>
  <si>
    <t>4633023436</t>
  </si>
  <si>
    <t>30958906</t>
  </si>
  <si>
    <t>ООО "АГРУПП"</t>
  </si>
  <si>
    <t>4603001234</t>
  </si>
  <si>
    <t>31206294</t>
  </si>
  <si>
    <t>ООО "Агропроект"</t>
  </si>
  <si>
    <t>3666120176</t>
  </si>
  <si>
    <t>366601001</t>
  </si>
  <si>
    <t>10-10-2018 00:00:00</t>
  </si>
  <si>
    <t>31157877</t>
  </si>
  <si>
    <t>ООО "ВодоСервис"</t>
  </si>
  <si>
    <t>4633039637</t>
  </si>
  <si>
    <t>463330100</t>
  </si>
  <si>
    <t>26357459</t>
  </si>
  <si>
    <t>ООО "ГОТЭК-ЦПУ"</t>
  </si>
  <si>
    <t>4633016372</t>
  </si>
  <si>
    <t>26599373</t>
  </si>
  <si>
    <t>ООО "ЖКХ с. Мантурово"</t>
  </si>
  <si>
    <t>4614004050</t>
  </si>
  <si>
    <t>461401001</t>
  </si>
  <si>
    <t>28080260</t>
  </si>
  <si>
    <t>ООО "Железногорская МСО"</t>
  </si>
  <si>
    <t>4633011913</t>
  </si>
  <si>
    <t>30918958</t>
  </si>
  <si>
    <t>ООО "Жилсервис ЗЖБИ-3"</t>
  </si>
  <si>
    <t>4633039010</t>
  </si>
  <si>
    <t>05-04-2017 00:00:00</t>
  </si>
  <si>
    <t>26357446</t>
  </si>
  <si>
    <t>ООО "КТС с. Калиновка"</t>
  </si>
  <si>
    <t>4626003929</t>
  </si>
  <si>
    <t>09-09-2024 00:00:00</t>
  </si>
  <si>
    <t>27159575</t>
  </si>
  <si>
    <t>ООО "Коммунальная служба + " С. Михайловка</t>
  </si>
  <si>
    <t>4633033219</t>
  </si>
  <si>
    <t>26357432</t>
  </si>
  <si>
    <t>ООО "Коммунальщик" п. Прямицино</t>
  </si>
  <si>
    <t>4617004147</t>
  </si>
  <si>
    <t>461701001</t>
  </si>
  <si>
    <t>27549510</t>
  </si>
  <si>
    <t>ООО "Комфорт" г. Железногорск</t>
  </si>
  <si>
    <t>4633022993</t>
  </si>
  <si>
    <t>31477115</t>
  </si>
  <si>
    <t>ООО "Круиз - М"</t>
  </si>
  <si>
    <t>5034043900</t>
  </si>
  <si>
    <t>503401001</t>
  </si>
  <si>
    <t>17-04-2012 00:00:00</t>
  </si>
  <si>
    <t>26357454</t>
  </si>
  <si>
    <t>ООО "Курские Внешние Коммунальные сети"</t>
  </si>
  <si>
    <t>4632033706</t>
  </si>
  <si>
    <t>30852158</t>
  </si>
  <si>
    <t>ООО "Курскоблтеплосеть"</t>
  </si>
  <si>
    <t>4632185184</t>
  </si>
  <si>
    <t>26519453</t>
  </si>
  <si>
    <t>ООО "Обоянские Коммунальные Тепловые Сети"</t>
  </si>
  <si>
    <t>4616008283</t>
  </si>
  <si>
    <t>461601001</t>
  </si>
  <si>
    <t>31209848</t>
  </si>
  <si>
    <t>ООО "ПРОМ-ЭНЕРГО-СЕРВИС"</t>
  </si>
  <si>
    <t>4620014875</t>
  </si>
  <si>
    <t>462001001</t>
  </si>
  <si>
    <t>23-10-2018 00:00:00</t>
  </si>
  <si>
    <t>31326254</t>
  </si>
  <si>
    <t>ООО "СБМ"</t>
  </si>
  <si>
    <t>4632113278</t>
  </si>
  <si>
    <t>26-10-2009 00:00:00</t>
  </si>
  <si>
    <t>28262863</t>
  </si>
  <si>
    <t>ООО "Санаторий "Моква"</t>
  </si>
  <si>
    <t>4611004126</t>
  </si>
  <si>
    <t>31713408</t>
  </si>
  <si>
    <t>ООО "Санаторий имени И.Д.Черняховского"</t>
  </si>
  <si>
    <t>4611003813</t>
  </si>
  <si>
    <t>18-10-2007 00:00:00</t>
  </si>
  <si>
    <t>26357417</t>
  </si>
  <si>
    <t>ООО "Свободинский электромеханический завод"</t>
  </si>
  <si>
    <t>4607000231</t>
  </si>
  <si>
    <t>460701001</t>
  </si>
  <si>
    <t>30949176</t>
  </si>
  <si>
    <t>ООО "Сети МС"</t>
  </si>
  <si>
    <t>4607006392</t>
  </si>
  <si>
    <t>05-12-2016 00:00:00</t>
  </si>
  <si>
    <t>26373203</t>
  </si>
  <si>
    <t>ООО "Солнцевское ЖКХ"</t>
  </si>
  <si>
    <t>4622004495</t>
  </si>
  <si>
    <t>26357456</t>
  </si>
  <si>
    <t>ООО "Теплогенерирующая компания"</t>
  </si>
  <si>
    <t>4632068226</t>
  </si>
  <si>
    <t>26806402</t>
  </si>
  <si>
    <t>ООО "Теткинское МУП ЖКХ"</t>
  </si>
  <si>
    <t>4603005599</t>
  </si>
  <si>
    <t>26373188</t>
  </si>
  <si>
    <t>ООО "УниверсалСтройСервис"</t>
  </si>
  <si>
    <t>4619004209</t>
  </si>
  <si>
    <t>461901001</t>
  </si>
  <si>
    <t>26357444</t>
  </si>
  <si>
    <t>ООО "Фатежские КЭТС"</t>
  </si>
  <si>
    <t>4625004944</t>
  </si>
  <si>
    <t>462501001</t>
  </si>
  <si>
    <t>28037290</t>
  </si>
  <si>
    <t>ООО "ЭКАС-строймонтаж"</t>
  </si>
  <si>
    <t>4632064101</t>
  </si>
  <si>
    <t>26319322</t>
  </si>
  <si>
    <t>ООО "Энерго-Сервис"</t>
  </si>
  <si>
    <t>4632032678</t>
  </si>
  <si>
    <t>30833091</t>
  </si>
  <si>
    <t>ООО "Энергосервисная компания ЖБК-1"</t>
  </si>
  <si>
    <t>3123389689</t>
  </si>
  <si>
    <t>312301001</t>
  </si>
  <si>
    <t>27845262</t>
  </si>
  <si>
    <t>ООО "Южная генерирующая компания"</t>
  </si>
  <si>
    <t>4632077904</t>
  </si>
  <si>
    <t>25-01-2024 00:00:00</t>
  </si>
  <si>
    <t>26520836</t>
  </si>
  <si>
    <t>ООО «НИАГАРА+»</t>
  </si>
  <si>
    <t>4607005286</t>
  </si>
  <si>
    <t>26520846</t>
  </si>
  <si>
    <t>ООО «Стройсантехналадка»</t>
  </si>
  <si>
    <t>4632064013</t>
  </si>
  <si>
    <t>27549574</t>
  </si>
  <si>
    <t>ООО Управляющая компания "Айсберг +"</t>
  </si>
  <si>
    <t>4608005722</t>
  </si>
  <si>
    <t>460801001</t>
  </si>
  <si>
    <t>26357433</t>
  </si>
  <si>
    <t>ООО"Теплосети п.Поныри"</t>
  </si>
  <si>
    <t>4618003724</t>
  </si>
  <si>
    <t>461801001</t>
  </si>
  <si>
    <t>30366049</t>
  </si>
  <si>
    <t>ОП "Воронежское" АО "ГУ ЖКХ"</t>
  </si>
  <si>
    <t>5116000922</t>
  </si>
  <si>
    <t>366445001</t>
  </si>
  <si>
    <t>21-10-2015 00:00:00</t>
  </si>
  <si>
    <t>28084551</t>
  </si>
  <si>
    <t>ПАО "Квадра" (филиал "Южная генерация")</t>
  </si>
  <si>
    <t>463201000</t>
  </si>
  <si>
    <t>26357457</t>
  </si>
  <si>
    <t>ПАО "Михайловский ГОК"</t>
  </si>
  <si>
    <t>26519455</t>
  </si>
  <si>
    <t>Рыльский авиационный технический колледж - филиал ФГОУВПО "Московский государственный технический университет гражданской авиации "</t>
  </si>
  <si>
    <t>7712029250</t>
  </si>
  <si>
    <t>26373189</t>
  </si>
  <si>
    <t>ФГБУ "Санаторий Марьино"</t>
  </si>
  <si>
    <t>4620001192</t>
  </si>
  <si>
    <t>31044258</t>
  </si>
  <si>
    <t>Филиал ОАО "РЖД" Юго-Восточная железная дорога, Юго-Восточная дирекция по эксплуатации зданий и сооружений ЕЛЕЦКАЯ ДИСТАЦИЯ ГРАЖДАНСКИХ СООРУЖЕНИЙ</t>
  </si>
  <si>
    <t>481245040</t>
  </si>
  <si>
    <t>27135237</t>
  </si>
  <si>
    <t>Филиал ОАО "РЭУ" "Курский"</t>
  </si>
  <si>
    <t>30941480</t>
  </si>
  <si>
    <t>Филиал ФГБУ "ЦЖКУ" Минобороны России (по МВО)</t>
  </si>
  <si>
    <t>7729314745</t>
  </si>
  <si>
    <t>503243002</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</si>
  <si>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</si>
  <si>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</si>
  <si>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</si>
  <si>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</si>
  <si>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31386954</t>
  </si>
  <si>
    <t>АДМИНИСТРАЦИЯ БЕРЕЗНИКОВСКОГО СЕЛЬСОВЕТА РЫЛЬСКОГО РАЙОНА</t>
  </si>
  <si>
    <t>4620001121</t>
  </si>
  <si>
    <t>31388059</t>
  </si>
  <si>
    <t>АДМИНИСТРАЦИЯ ПОСЕЛКА ПРИСТЕНЬ ПРИСТЕНСКОГО РАЙОНА КУРСКОЙ ОБЛАСТИ</t>
  </si>
  <si>
    <t>4619000860</t>
  </si>
  <si>
    <t>31280789</t>
  </si>
  <si>
    <t>АНО " Водоснабжение с. 1- Засеймье"</t>
  </si>
  <si>
    <t>4614003681</t>
  </si>
  <si>
    <t>01-01-2019 00:00:00</t>
  </si>
  <si>
    <t>23-09-2024 00:00:00</t>
  </si>
  <si>
    <t>26546500</t>
  </si>
  <si>
    <t>АНО "Водоснабжение Бычковского сельсовета"</t>
  </si>
  <si>
    <t>4608005874</t>
  </si>
  <si>
    <t>26546504</t>
  </si>
  <si>
    <t>АНО "Водоснабжение Верхнеграйворонского сельсовета"</t>
  </si>
  <si>
    <t>4608005970</t>
  </si>
  <si>
    <t>12-01-2024 00:00:00</t>
  </si>
  <si>
    <t>26373185</t>
  </si>
  <si>
    <t>АНО "Водоснабжение Зоринского сельсовета"</t>
  </si>
  <si>
    <t>4616007201</t>
  </si>
  <si>
    <t>461601005</t>
  </si>
  <si>
    <t>26546518</t>
  </si>
  <si>
    <t>АНО "Водоснабжение Краснознаменского сельсовета "</t>
  </si>
  <si>
    <t>4608005867</t>
  </si>
  <si>
    <t>27159726</t>
  </si>
  <si>
    <t>АНО "Водоснабжение Уланковского сельсовета"</t>
  </si>
  <si>
    <t>4623007153</t>
  </si>
  <si>
    <t>30838874</t>
  </si>
  <si>
    <t>АНО "Водоснабжение с. 2-е Выгорное"</t>
  </si>
  <si>
    <t>4624902335</t>
  </si>
  <si>
    <t>462401001</t>
  </si>
  <si>
    <t>27784441</t>
  </si>
  <si>
    <t>АНО "Водоснабжение с. Марица"</t>
  </si>
  <si>
    <t>4613996035</t>
  </si>
  <si>
    <t>04-05-2012 00:00:00</t>
  </si>
  <si>
    <t>26546532</t>
  </si>
  <si>
    <t>АНО "Водоснабжение с. Орехово"</t>
  </si>
  <si>
    <t>4608005810</t>
  </si>
  <si>
    <t>26599751</t>
  </si>
  <si>
    <t>АНО "Водоснабжение с. Усланка"</t>
  </si>
  <si>
    <t>4616007508</t>
  </si>
  <si>
    <t>24-01-2024 00:00:00</t>
  </si>
  <si>
    <t>31603544</t>
  </si>
  <si>
    <t>АНО по обеспечению водой "АКВА"</t>
  </si>
  <si>
    <t>4632284347</t>
  </si>
  <si>
    <t>27-08-2021 00:00:00</t>
  </si>
  <si>
    <t>28068074</t>
  </si>
  <si>
    <t>АО "Курскоблводоканал"</t>
  </si>
  <si>
    <t>4632165780</t>
  </si>
  <si>
    <t>26598017</t>
  </si>
  <si>
    <t>АО "Суджанский маслодельный комбинат"</t>
  </si>
  <si>
    <t>4623000045</t>
  </si>
  <si>
    <t>31520452</t>
  </si>
  <si>
    <t>Администрация  Андросовского сельсовета</t>
  </si>
  <si>
    <t>4606001000</t>
  </si>
  <si>
    <t>31416151</t>
  </si>
  <si>
    <t>Администрация 1-го Поныровского сельсовета Поныровского района</t>
  </si>
  <si>
    <t>4618001043</t>
  </si>
  <si>
    <t>31088695</t>
  </si>
  <si>
    <t>Администрация Дмитриевского сельсовета Золотухинского района Курской области</t>
  </si>
  <si>
    <t>4607000418</t>
  </si>
  <si>
    <t>31088641</t>
  </si>
  <si>
    <t>Администрация Званновского сельсовета Глушковского района Курской области</t>
  </si>
  <si>
    <t>4603000488</t>
  </si>
  <si>
    <t>31088657</t>
  </si>
  <si>
    <t>Администрация Карыжского сельсовета Глушковского района Курской области</t>
  </si>
  <si>
    <t>4603000696</t>
  </si>
  <si>
    <t>31088670</t>
  </si>
  <si>
    <t>Администрация Коровяковского сельсовета Глушковского района Курской области</t>
  </si>
  <si>
    <t>4603000632</t>
  </si>
  <si>
    <t>31258569</t>
  </si>
  <si>
    <t>Администрация Мантуровского района Курской области</t>
  </si>
  <si>
    <t>4614003378</t>
  </si>
  <si>
    <t>31088676</t>
  </si>
  <si>
    <t>Администрация Марковского сельсовета Глушковского района Курской области</t>
  </si>
  <si>
    <t>4603000505</t>
  </si>
  <si>
    <t>31256167</t>
  </si>
  <si>
    <t>Администрация Махновского сельсовета Суджанского района Курской области</t>
  </si>
  <si>
    <t>4623001514</t>
  </si>
  <si>
    <t>31088683</t>
  </si>
  <si>
    <t>Администрация Нижнемордокского сельсовета Глушковского района Курской области</t>
  </si>
  <si>
    <t>4603000590</t>
  </si>
  <si>
    <t>31088715</t>
  </si>
  <si>
    <t>Администрация Первоавгустовского сельсовета Дмитриевского района Курской области</t>
  </si>
  <si>
    <t>4605001889</t>
  </si>
  <si>
    <t>460501001</t>
  </si>
  <si>
    <t>31088707</t>
  </si>
  <si>
    <t>Администрация Пригородненского сельсовета Щигровского района Куркой области</t>
  </si>
  <si>
    <t>4628001003</t>
  </si>
  <si>
    <t>31257845</t>
  </si>
  <si>
    <t>Администрация Суджанского района</t>
  </si>
  <si>
    <t>4623002853</t>
  </si>
  <si>
    <t>01-12-2018 00:00:00</t>
  </si>
  <si>
    <t>31088689</t>
  </si>
  <si>
    <t>Администрация Сухиновского сельсовета Глушковского района Курской области</t>
  </si>
  <si>
    <t>4603000569</t>
  </si>
  <si>
    <t>30910110</t>
  </si>
  <si>
    <t>Администрация п. Кировский Пристенского района Курской области</t>
  </si>
  <si>
    <t>4619000525</t>
  </si>
  <si>
    <t>31659460</t>
  </si>
  <si>
    <t>Администрация п. Новокасторное Касторенского района Курской области</t>
  </si>
  <si>
    <t>4608000548</t>
  </si>
  <si>
    <t>02-09-2002 00:00:00</t>
  </si>
  <si>
    <t>31281144</t>
  </si>
  <si>
    <t>МАУ "Марьинское ЖКХ"</t>
  </si>
  <si>
    <t>4620014226</t>
  </si>
  <si>
    <t>26373194</t>
  </si>
  <si>
    <t>МАУ"Служба заказчика по ЖКУ Октябрьского сельсовета"</t>
  </si>
  <si>
    <t>4620006730</t>
  </si>
  <si>
    <t>28254492</t>
  </si>
  <si>
    <t>МБУ "ОХО" поселка Медвенка</t>
  </si>
  <si>
    <t>4615007054</t>
  </si>
  <si>
    <t>461501001</t>
  </si>
  <si>
    <t>31737786</t>
  </si>
  <si>
    <t>МКУ "По обеспечению деятельности Администрации Тимского района Курской области"</t>
  </si>
  <si>
    <t>4624007967</t>
  </si>
  <si>
    <t>31738249</t>
  </si>
  <si>
    <t>МКУ "Управление ОДОМС " Поселка Солнцево</t>
  </si>
  <si>
    <t>4622001409</t>
  </si>
  <si>
    <t>14-06-2013 00:00:00</t>
  </si>
  <si>
    <t>27784674</t>
  </si>
  <si>
    <t>МП "Водоканал"</t>
  </si>
  <si>
    <t>4605006372</t>
  </si>
  <si>
    <t>05-05-2012 00:00:00</t>
  </si>
  <si>
    <t>28068342</t>
  </si>
  <si>
    <t>МУ "Служба заказчика по ЖКУ Городенского сельсовета"</t>
  </si>
  <si>
    <t>4613011175</t>
  </si>
  <si>
    <t>26373198</t>
  </si>
  <si>
    <t>МУ "Служба заказчика по ЖКУ Крупецкого сельсовета"</t>
  </si>
  <si>
    <t>4620006842</t>
  </si>
  <si>
    <t>31411333</t>
  </si>
  <si>
    <t>МУНИЦИПАЛЬНОЕ КАЗЕННОЕ ПРЕДПРИЯТИЕ "РЫЛЬСКИЕ КОММУНАЛЬНЫЕ СЕТИ" МУНИЦИПАЛЬНОГО ОБРАЗОВАНИЯ "ГОРОД РЫЛЬСК" РЫЛЬСКОГО РАЙОНА КУРСКОЙ ОБЛАСТИ</t>
  </si>
  <si>
    <t>4620014931</t>
  </si>
  <si>
    <t>26373204</t>
  </si>
  <si>
    <t>МУП  "Водопроводного и жилищного-коммунального хозяйства" село Замостье при М.О."Замостянский сельсовет"</t>
  </si>
  <si>
    <t>4623005710</t>
  </si>
  <si>
    <t>26373209</t>
  </si>
  <si>
    <t>МУП "Водоканал-сервис"</t>
  </si>
  <si>
    <t>4627002389</t>
  </si>
  <si>
    <t>462701001</t>
  </si>
  <si>
    <t>26380385</t>
  </si>
  <si>
    <t>МУП "Горводоканал"</t>
  </si>
  <si>
    <t>4633002429</t>
  </si>
  <si>
    <t>26373220</t>
  </si>
  <si>
    <t>МУП "Дружненское ЖКХ"</t>
  </si>
  <si>
    <t>4634009201</t>
  </si>
  <si>
    <t>24-12-2024 00:00:00</t>
  </si>
  <si>
    <t>31538877</t>
  </si>
  <si>
    <t>МУП "ЖКХ Глушковского района"</t>
  </si>
  <si>
    <t>4603009057</t>
  </si>
  <si>
    <t>31424011</t>
  </si>
  <si>
    <t>МУП "ЖКХ Магнитный"</t>
  </si>
  <si>
    <t>4633039073</t>
  </si>
  <si>
    <t>22-01-2024 00:00:00</t>
  </si>
  <si>
    <t>31256178</t>
  </si>
  <si>
    <t>МУП "ЖКХ п. Олымский"</t>
  </si>
  <si>
    <t>4608006564</t>
  </si>
  <si>
    <t>05-08-2018 00:00:00</t>
  </si>
  <si>
    <t>28068061</t>
  </si>
  <si>
    <t>МУП "Жилкомсерис п. Поныри"</t>
  </si>
  <si>
    <t>4618003594</t>
  </si>
  <si>
    <t>10-02-2006 00:00:00</t>
  </si>
  <si>
    <t>28940776</t>
  </si>
  <si>
    <t>МУП "Калиновское ЖКХ" Администрации Хомутовского района Курской области</t>
  </si>
  <si>
    <t>4626003774</t>
  </si>
  <si>
    <t>31590534</t>
  </si>
  <si>
    <t>МУП "Коммунальные сети"  Рыльского района</t>
  </si>
  <si>
    <t>4620015050</t>
  </si>
  <si>
    <t>25-02-2022 00:00:00</t>
  </si>
  <si>
    <t>31423981</t>
  </si>
  <si>
    <t>МУП "Комфорт" Курчатовского района</t>
  </si>
  <si>
    <t>4634013399</t>
  </si>
  <si>
    <t>20-01-2020 00:00:00</t>
  </si>
  <si>
    <t>26373211</t>
  </si>
  <si>
    <t>МУП "Курскводоканал"</t>
  </si>
  <si>
    <t>4629026667</t>
  </si>
  <si>
    <t>27980658</t>
  </si>
  <si>
    <t>МУП "Курчатовское районное ЖКХ"</t>
  </si>
  <si>
    <t>4634011426</t>
  </si>
  <si>
    <t>31253987</t>
  </si>
  <si>
    <t>МУП "Льговское районное ЖКХ"</t>
  </si>
  <si>
    <t>4613006425</t>
  </si>
  <si>
    <t>30838799</t>
  </si>
  <si>
    <t>МУП "РВК"</t>
  </si>
  <si>
    <t>4633038351</t>
  </si>
  <si>
    <t>31446012</t>
  </si>
  <si>
    <t>МУП "СКХ"</t>
  </si>
  <si>
    <t>4623007940</t>
  </si>
  <si>
    <t>26373154</t>
  </si>
  <si>
    <t>МУП ВЖКХ села Коренево</t>
  </si>
  <si>
    <t>4610003049</t>
  </si>
  <si>
    <t>05-04-2004 00:00:00</t>
  </si>
  <si>
    <t>31280385</t>
  </si>
  <si>
    <t>МУП ВКХ администрации Шептуховского сельсовета</t>
  </si>
  <si>
    <t>4610003433</t>
  </si>
  <si>
    <t>06-02-2006 00:00:00</t>
  </si>
  <si>
    <t>26380377</t>
  </si>
  <si>
    <t>МУП ВКХ г. Суджи</t>
  </si>
  <si>
    <t>4623001105</t>
  </si>
  <si>
    <t>30372352</t>
  </si>
  <si>
    <t>МУП ЖКХ "Беловского района"</t>
  </si>
  <si>
    <t>4601005402</t>
  </si>
  <si>
    <t>26629765</t>
  </si>
  <si>
    <t>МУП ЖКХ администрации Пушкарского сельсовета</t>
  </si>
  <si>
    <t>4610003730</t>
  </si>
  <si>
    <t>24-04-2024 00:00:00</t>
  </si>
  <si>
    <t>31023130</t>
  </si>
  <si>
    <t>МУП КХ "Фатеж"</t>
  </si>
  <si>
    <t>4625006412</t>
  </si>
  <si>
    <t>26520825</t>
  </si>
  <si>
    <t>ОАО «Кривец-сахар»</t>
  </si>
  <si>
    <t>4614002688</t>
  </si>
  <si>
    <t>28267645</t>
  </si>
  <si>
    <t>ОКОУ "Школа-интернат № 3" г. Курска"</t>
  </si>
  <si>
    <t>4629043359</t>
  </si>
  <si>
    <t>31297415</t>
  </si>
  <si>
    <t>ООО "АкваБор Лимитед"</t>
  </si>
  <si>
    <t>4632041753</t>
  </si>
  <si>
    <t>31459983</t>
  </si>
  <si>
    <t>ООО "ВКЦ"</t>
  </si>
  <si>
    <t>4623007869</t>
  </si>
  <si>
    <t>27783825</t>
  </si>
  <si>
    <t>ООО "Водник"</t>
  </si>
  <si>
    <t>4610003779</t>
  </si>
  <si>
    <t>11-05-2012 00:00:00</t>
  </si>
  <si>
    <t>31508996</t>
  </si>
  <si>
    <t>26654110</t>
  </si>
  <si>
    <t>ООО "Водозабор"</t>
  </si>
  <si>
    <t>4616008325</t>
  </si>
  <si>
    <t>26598074</t>
  </si>
  <si>
    <t>ООО "Водоканал"</t>
  </si>
  <si>
    <t>4613011390</t>
  </si>
  <si>
    <t>26598654</t>
  </si>
  <si>
    <t>ООО "Водоканал" п. им. К. Либнехта</t>
  </si>
  <si>
    <t>4634009762</t>
  </si>
  <si>
    <t>30910426</t>
  </si>
  <si>
    <t>ООО "ЖКХ Черемисиновского района"</t>
  </si>
  <si>
    <t>4627003248</t>
  </si>
  <si>
    <t>26380369</t>
  </si>
  <si>
    <t>ООО "ЖКХ поселка Прямицыно"</t>
  </si>
  <si>
    <t>4617005180</t>
  </si>
  <si>
    <t>26599351</t>
  </si>
  <si>
    <t>ООО "ЖКХ с. Сейм"</t>
  </si>
  <si>
    <t>4614004043</t>
  </si>
  <si>
    <t>26600215</t>
  </si>
  <si>
    <t>ООО "Жилищно-коммунальный сервис п. Возы"</t>
  </si>
  <si>
    <t>4618003996</t>
  </si>
  <si>
    <t>27712094</t>
  </si>
  <si>
    <t>ООО "Инжстройсервис"</t>
  </si>
  <si>
    <t>4611011684</t>
  </si>
  <si>
    <t>29-09-2011 00:00:00</t>
  </si>
  <si>
    <t>26594910</t>
  </si>
  <si>
    <t>ООО "КОММУНАЛЬНЫЙ"</t>
  </si>
  <si>
    <t>4607005261</t>
  </si>
  <si>
    <t>28446024</t>
  </si>
  <si>
    <t>ООО "Коммунальщик Плюс"</t>
  </si>
  <si>
    <t>4604005961</t>
  </si>
  <si>
    <t>460401001</t>
  </si>
  <si>
    <t>30990088</t>
  </si>
  <si>
    <t>ООО "Олымский сахарный завод"</t>
  </si>
  <si>
    <t>4608005793</t>
  </si>
  <si>
    <t>31550790</t>
  </si>
  <si>
    <t>ООО "Промышленная лизинговая компания"</t>
  </si>
  <si>
    <t>4632218746</t>
  </si>
  <si>
    <t>31349578</t>
  </si>
  <si>
    <t>ООО "Сатурн"</t>
  </si>
  <si>
    <t>4620014890</t>
  </si>
  <si>
    <t>31480159</t>
  </si>
  <si>
    <t>ООО "Тимводсервис"</t>
  </si>
  <si>
    <t>4624001764</t>
  </si>
  <si>
    <t>26590820</t>
  </si>
  <si>
    <t>ООО "УК ЖКХ пос. Солнечный"</t>
  </si>
  <si>
    <t>4607005310</t>
  </si>
  <si>
    <t>14-08-2008 00:00:00</t>
  </si>
  <si>
    <t>28500131</t>
  </si>
  <si>
    <t>ООО "УК Конышевская"</t>
  </si>
  <si>
    <t>4609004457</t>
  </si>
  <si>
    <t>460901001</t>
  </si>
  <si>
    <t>27990413</t>
  </si>
  <si>
    <t>ООО "Фатежское КЭХ"</t>
  </si>
  <si>
    <t>4625005948</t>
  </si>
  <si>
    <t>26806528</t>
  </si>
  <si>
    <t>ООО "Хомутовское ЖКХ"</t>
  </si>
  <si>
    <t>4626003975</t>
  </si>
  <si>
    <t>26546484</t>
  </si>
  <si>
    <t>ООО Управляющая компания "Заказчик Касторное"</t>
  </si>
  <si>
    <t>4608005627</t>
  </si>
  <si>
    <t>28067786</t>
  </si>
  <si>
    <t>ПАО "Ростелеком" в лице Курского филиала</t>
  </si>
  <si>
    <t>7707049388</t>
  </si>
  <si>
    <t>31211497</t>
  </si>
  <si>
    <t>ТСЖ "Водоснабжение Красная долина"</t>
  </si>
  <si>
    <t>4608002665</t>
  </si>
  <si>
    <t>22-12-2016 00:00:00</t>
  </si>
  <si>
    <t>31276204</t>
  </si>
  <si>
    <t>ТСЖ "Водоснабжение Орехово"</t>
  </si>
  <si>
    <t>4608006525</t>
  </si>
  <si>
    <t>31088621</t>
  </si>
  <si>
    <t>ТСН "Водоснабжение Медвенского района"</t>
  </si>
  <si>
    <t>4615007488</t>
  </si>
  <si>
    <t>17-01-2018 00:00:00</t>
  </si>
  <si>
    <t>31246183</t>
  </si>
  <si>
    <t>ТСН "Водоснабжение Нижнереутчанского сельсовета"</t>
  </si>
  <si>
    <t>4615007495</t>
  </si>
  <si>
    <t>30990108</t>
  </si>
  <si>
    <t>ТСН "Водоснабжение Солнцевского района"</t>
  </si>
  <si>
    <t>4622008147</t>
  </si>
  <si>
    <t>30861196</t>
  </si>
  <si>
    <t>Филиал "Золотухинский" ООО "КСП"</t>
  </si>
  <si>
    <t>3611009179</t>
  </si>
  <si>
    <t>31799822</t>
  </si>
  <si>
    <t>АДМИНИСТРАЦИЯ КУРЧАТОВСКОГО РАЙОНА КУРСКОЙ ОБЛАСТИ</t>
  </si>
  <si>
    <t>4634008720</t>
  </si>
  <si>
    <t>26-12-2005 00:00:00</t>
  </si>
  <si>
    <t>31408462</t>
  </si>
  <si>
    <t>АДМИНИСТРАЦИЯ СЕЛЕКЦИОННОГО СЕЛЬСОВЕТА ЛЬГОВСКОГО РАЙОНА</t>
  </si>
  <si>
    <t>4613001184</t>
  </si>
  <si>
    <t>26599727</t>
  </si>
  <si>
    <t>АНО "Водоснабжение Советского сельсовета"</t>
  </si>
  <si>
    <t>4621004333</t>
  </si>
  <si>
    <t>31256635</t>
  </si>
  <si>
    <t>Администрация Железногорского района Курской области</t>
  </si>
  <si>
    <t>4633017538</t>
  </si>
  <si>
    <t>28146382</t>
  </si>
  <si>
    <t>ЗАО "ЕПТК"</t>
  </si>
  <si>
    <t>7721012037</t>
  </si>
  <si>
    <t>770501001</t>
  </si>
  <si>
    <t>26600146</t>
  </si>
  <si>
    <t>ИП Солгалов Ю.В.</t>
  </si>
  <si>
    <t>461900035649</t>
  </si>
  <si>
    <t>26406192</t>
  </si>
  <si>
    <t>ООО "Курскхимволокно"</t>
  </si>
  <si>
    <t>7733542991</t>
  </si>
  <si>
    <t>26629630</t>
  </si>
  <si>
    <t>ООО "Промконсервы"</t>
  </si>
  <si>
    <t>7728276053</t>
  </si>
  <si>
    <t>460845004</t>
  </si>
  <si>
    <t>26598650</t>
  </si>
  <si>
    <t>ФКУ ИК-2 УФСИН России по Курской области</t>
  </si>
  <si>
    <t>4629037370</t>
  </si>
  <si>
    <t>462011001</t>
  </si>
  <si>
    <t>26503166</t>
  </si>
  <si>
    <t>ФКУ ИК-3 УФСИН России по Курской области</t>
  </si>
  <si>
    <t>4613004636</t>
  </si>
  <si>
    <t>26539451</t>
  </si>
  <si>
    <t>АО "САБ по уборке г. Курска"</t>
  </si>
  <si>
    <t>4632219475</t>
  </si>
  <si>
    <t>30908291</t>
  </si>
  <si>
    <t>ИП Дюдин А.И.</t>
  </si>
  <si>
    <t>462901255102</t>
  </si>
  <si>
    <t>30908122</t>
  </si>
  <si>
    <t>ИП Карпушин А.И.</t>
  </si>
  <si>
    <t>461500293589</t>
  </si>
  <si>
    <t>30908164</t>
  </si>
  <si>
    <t>МУП "Любимый город"</t>
  </si>
  <si>
    <t>4628003240</t>
  </si>
  <si>
    <t>30908286</t>
  </si>
  <si>
    <t>МУП ЖКХ г. Суджи</t>
  </si>
  <si>
    <t>4623003039</t>
  </si>
  <si>
    <t>30908088</t>
  </si>
  <si>
    <t>МУП ЖКХ п. Коренево</t>
  </si>
  <si>
    <t>4610000295</t>
  </si>
  <si>
    <t>30985093</t>
  </si>
  <si>
    <t>ООО "СРВ"</t>
  </si>
  <si>
    <t>4632232518</t>
  </si>
  <si>
    <t>30908060</t>
  </si>
  <si>
    <t>ООО "Сервис"</t>
  </si>
  <si>
    <t>4604005866</t>
  </si>
  <si>
    <t>29-07-2024 00:00:00</t>
  </si>
  <si>
    <t>30908077</t>
  </si>
  <si>
    <t>ООО "СпецЭкоТранс"</t>
  </si>
  <si>
    <t>4633037559</t>
  </si>
  <si>
    <t>30908264</t>
  </si>
  <si>
    <t>ООО "ТКО-Сервис"</t>
  </si>
  <si>
    <t>4616007522</t>
  </si>
  <si>
    <t>30908064</t>
  </si>
  <si>
    <t>ООО "ТКО-Транс"</t>
  </si>
  <si>
    <t>4634008430</t>
  </si>
  <si>
    <t>31716314</t>
  </si>
  <si>
    <t>ООО "Флагман-Курск"</t>
  </si>
  <si>
    <t>4632291175</t>
  </si>
  <si>
    <t>06-12-2023 00:00:00</t>
  </si>
  <si>
    <t>30908168</t>
  </si>
  <si>
    <t>ООО "ЩУК ЖКХ"</t>
  </si>
  <si>
    <t>4628006731</t>
  </si>
  <si>
    <t>30985803</t>
  </si>
  <si>
    <t>ООО "Эко-Альянс"</t>
  </si>
  <si>
    <t>7701395335</t>
  </si>
  <si>
    <t>770101001</t>
  </si>
  <si>
    <t>30987293</t>
  </si>
  <si>
    <t>ООО "ЭкоРесурс"</t>
  </si>
  <si>
    <t>4634010140</t>
  </si>
  <si>
    <t>30430600</t>
  </si>
  <si>
    <t>ООО "Экопол"</t>
  </si>
  <si>
    <t>4632060153</t>
  </si>
  <si>
    <t>30908091</t>
  </si>
  <si>
    <t>ООО "Экотранс"</t>
  </si>
  <si>
    <t>4632130361</t>
  </si>
  <si>
    <t>28967487</t>
  </si>
  <si>
    <t>УМП "СУР"</t>
  </si>
  <si>
    <t>4620006049</t>
  </si>
  <si>
    <t>03-12-2024 00:00:00</t>
  </si>
  <si>
    <t>NSRF</t>
  </si>
  <si>
    <t>MR_NAME</t>
  </si>
  <si>
    <t>OKTMO_MR_NAME</t>
  </si>
  <si>
    <t>MO_NAME</t>
  </si>
  <si>
    <t>OKTMO_NAME</t>
  </si>
  <si>
    <t>TYPE</t>
  </si>
  <si>
    <t>MR_ID</t>
  </si>
  <si>
    <t>Беловский муниципальный район</t>
  </si>
  <si>
    <t>38602000</t>
  </si>
  <si>
    <t>Беличанский сельсовет</t>
  </si>
  <si>
    <t>38602404</t>
  </si>
  <si>
    <t>сельское поселение</t>
  </si>
  <si>
    <t>муниципальный район</t>
  </si>
  <si>
    <t>Беловский сельсовет</t>
  </si>
  <si>
    <t>38602408</t>
  </si>
  <si>
    <t>Бобравский сельсовет</t>
  </si>
  <si>
    <t>38602412</t>
  </si>
  <si>
    <t>Вишневский сельсовет</t>
  </si>
  <si>
    <t>38602416</t>
  </si>
  <si>
    <t>Гирьянский сельсовет</t>
  </si>
  <si>
    <t>38602420</t>
  </si>
  <si>
    <t>Долгобудский сельсовет</t>
  </si>
  <si>
    <t>38602424</t>
  </si>
  <si>
    <t>Ильковский сельсовет</t>
  </si>
  <si>
    <t>38602428</t>
  </si>
  <si>
    <t>Коммунаровский сельсовет</t>
  </si>
  <si>
    <t>38602430</t>
  </si>
  <si>
    <t>Кондратовский сельсовет</t>
  </si>
  <si>
    <t>38602432</t>
  </si>
  <si>
    <t>Корочанский сельсовет</t>
  </si>
  <si>
    <t>38602436</t>
  </si>
  <si>
    <t>Малосолдатский сельсовет</t>
  </si>
  <si>
    <t>38602438</t>
  </si>
  <si>
    <t>Пенский сельсовет</t>
  </si>
  <si>
    <t>38602452</t>
  </si>
  <si>
    <t>Песчанский сельсовет</t>
  </si>
  <si>
    <t>38602454</t>
  </si>
  <si>
    <t>Щеголянский сельсовет</t>
  </si>
  <si>
    <t>38602460</t>
  </si>
  <si>
    <t>Большесолдатский муниципальный район</t>
  </si>
  <si>
    <t>38603000</t>
  </si>
  <si>
    <t>Большесолдатский сельсовет</t>
  </si>
  <si>
    <t>38603403</t>
  </si>
  <si>
    <t>Волоконский сельсовет</t>
  </si>
  <si>
    <t>38603412</t>
  </si>
  <si>
    <t>Любимовский сельсовет</t>
  </si>
  <si>
    <t>38603425</t>
  </si>
  <si>
    <t>Любостанский сельсовет</t>
  </si>
  <si>
    <t>38603427</t>
  </si>
  <si>
    <t>Нижнегридинский сельсовет</t>
  </si>
  <si>
    <t>38603430</t>
  </si>
  <si>
    <t>Саморядовский сельсовет</t>
  </si>
  <si>
    <t>38603451</t>
  </si>
  <si>
    <t>Сторожевский сельсовет</t>
  </si>
  <si>
    <t>38603457</t>
  </si>
  <si>
    <t>Глушковский муниципальный район</t>
  </si>
  <si>
    <t>38604000</t>
  </si>
  <si>
    <t>Алексеевский сельсовет</t>
  </si>
  <si>
    <t>38604404</t>
  </si>
  <si>
    <t>Веселовский сельсовет</t>
  </si>
  <si>
    <t>38604412</t>
  </si>
  <si>
    <t>Званновский сельсовет</t>
  </si>
  <si>
    <t>38604420</t>
  </si>
  <si>
    <t>Карыжский сельсовет</t>
  </si>
  <si>
    <t>38604424</t>
  </si>
  <si>
    <t>Кобыльский сельсовет</t>
  </si>
  <si>
    <t>38604428</t>
  </si>
  <si>
    <t>Коровяковский сельсовет</t>
  </si>
  <si>
    <t>38604432</t>
  </si>
  <si>
    <t>Кульбакинский сельсовет</t>
  </si>
  <si>
    <t>38604436</t>
  </si>
  <si>
    <t>Марковский сельсовет</t>
  </si>
  <si>
    <t>38604440</t>
  </si>
  <si>
    <t>Нижнемордокский сельсовет</t>
  </si>
  <si>
    <t>38604444</t>
  </si>
  <si>
    <t>Попово-Лежачанский сельсовет</t>
  </si>
  <si>
    <t>38604448</t>
  </si>
  <si>
    <t>Сухиновский сельсовет</t>
  </si>
  <si>
    <t>38604456</t>
  </si>
  <si>
    <t>поселок Глушково</t>
  </si>
  <si>
    <t>38604151</t>
  </si>
  <si>
    <t>городское поселение, в состав которого входит поселок</t>
  </si>
  <si>
    <t>поселок Теткино</t>
  </si>
  <si>
    <t>38604155</t>
  </si>
  <si>
    <t>Горшеченский муниципальный район</t>
  </si>
  <si>
    <t>38606000</t>
  </si>
  <si>
    <t>Богатыревский сельсовет</t>
  </si>
  <si>
    <t>38606404</t>
  </si>
  <si>
    <t>Быковский сельсовет</t>
  </si>
  <si>
    <t>38606408</t>
  </si>
  <si>
    <t>Знаменский сельсовет</t>
  </si>
  <si>
    <t>38606412</t>
  </si>
  <si>
    <t>Ключевский сельсовет</t>
  </si>
  <si>
    <t>38606416</t>
  </si>
  <si>
    <t>Куньевский сельсовет</t>
  </si>
  <si>
    <t>38606424</t>
  </si>
  <si>
    <t>Нижнеборковский сельсовет</t>
  </si>
  <si>
    <t>38606428</t>
  </si>
  <si>
    <t>Никольский сельсовет</t>
  </si>
  <si>
    <t>38606432</t>
  </si>
  <si>
    <t>Новомеловский сельсовет</t>
  </si>
  <si>
    <t>38606436</t>
  </si>
  <si>
    <t>Солдатский сельсовет</t>
  </si>
  <si>
    <t>38606444</t>
  </si>
  <si>
    <t>Сосновский сельсовет</t>
  </si>
  <si>
    <t>38606448</t>
  </si>
  <si>
    <t>Среднеапоченский сельсовет</t>
  </si>
  <si>
    <t>38606452</t>
  </si>
  <si>
    <t>Старороговский сельсовет</t>
  </si>
  <si>
    <t>38606460</t>
  </si>
  <si>
    <t>Удобенский сельсовет</t>
  </si>
  <si>
    <t>38606468</t>
  </si>
  <si>
    <t>Ясеновский сельсовет</t>
  </si>
  <si>
    <t>38606472</t>
  </si>
  <si>
    <t>поселок Горшечное</t>
  </si>
  <si>
    <t>38606151</t>
  </si>
  <si>
    <t>Дмитриевский муниципальный район</t>
  </si>
  <si>
    <t>38608000</t>
  </si>
  <si>
    <t>Дерюгинский сельсовет</t>
  </si>
  <si>
    <t>38608416</t>
  </si>
  <si>
    <t>Крупецкой сельсовет</t>
  </si>
  <si>
    <t>38608420</t>
  </si>
  <si>
    <t>Новопершинский сельсовет</t>
  </si>
  <si>
    <t>38608432</t>
  </si>
  <si>
    <t>Первоавгустовский сельсовет</t>
  </si>
  <si>
    <t>38608438</t>
  </si>
  <si>
    <t>Поповский сельсовет</t>
  </si>
  <si>
    <t>38608444</t>
  </si>
  <si>
    <t>Почепский сельсовет</t>
  </si>
  <si>
    <t>38608448</t>
  </si>
  <si>
    <t>60</t>
  </si>
  <si>
    <t>Старогородский сельсовет</t>
  </si>
  <si>
    <t>38608460</t>
  </si>
  <si>
    <t>61</t>
  </si>
  <si>
    <t>город Дмитриев</t>
  </si>
  <si>
    <t>38608101</t>
  </si>
  <si>
    <t>городское поселение, в состав которого входит город</t>
  </si>
  <si>
    <t>62</t>
  </si>
  <si>
    <t>Железногорский муниципальный район</t>
  </si>
  <si>
    <t>38610000</t>
  </si>
  <si>
    <t>Андросовский сельсовет</t>
  </si>
  <si>
    <t>38610404</t>
  </si>
  <si>
    <t>63</t>
  </si>
  <si>
    <t>Веретенинский сельсовет</t>
  </si>
  <si>
    <t>38610410</t>
  </si>
  <si>
    <t>64</t>
  </si>
  <si>
    <t>Волковский сельсовет</t>
  </si>
  <si>
    <t>38610412</t>
  </si>
  <si>
    <t>65</t>
  </si>
  <si>
    <t>Городновский сельсовет</t>
  </si>
  <si>
    <t>38610414</t>
  </si>
  <si>
    <t>67</t>
  </si>
  <si>
    <t>Кармановский сельсовет</t>
  </si>
  <si>
    <t>38610428</t>
  </si>
  <si>
    <t>Линецкий сельсовет</t>
  </si>
  <si>
    <t>38610416</t>
  </si>
  <si>
    <t>69</t>
  </si>
  <si>
    <t>Михайловский сельсовет</t>
  </si>
  <si>
    <t>38610420</t>
  </si>
  <si>
    <t>70</t>
  </si>
  <si>
    <t>Новоандросовский сельсовет</t>
  </si>
  <si>
    <t>38610424</t>
  </si>
  <si>
    <t>71</t>
  </si>
  <si>
    <t>Разветьевский сельсовет</t>
  </si>
  <si>
    <t>38610432</t>
  </si>
  <si>
    <t>72</t>
  </si>
  <si>
    <t>38610440</t>
  </si>
  <si>
    <t>73</t>
  </si>
  <si>
    <t>Студенокский сельсовет</t>
  </si>
  <si>
    <t>38610446</t>
  </si>
  <si>
    <t>74</t>
  </si>
  <si>
    <t>Троицкий сельсовет</t>
  </si>
  <si>
    <t>38610448</t>
  </si>
  <si>
    <t>75</t>
  </si>
  <si>
    <t>поселок Магнитный</t>
  </si>
  <si>
    <t>38610160</t>
  </si>
  <si>
    <t>76</t>
  </si>
  <si>
    <t>Золотухинский муниципальный район</t>
  </si>
  <si>
    <t>38612000</t>
  </si>
  <si>
    <t>Ануфриевский сельсовет</t>
  </si>
  <si>
    <t>38612404</t>
  </si>
  <si>
    <t>77</t>
  </si>
  <si>
    <t>Апальковский сельсовет</t>
  </si>
  <si>
    <t>38612406</t>
  </si>
  <si>
    <t>78</t>
  </si>
  <si>
    <t>Будановский сельсовет</t>
  </si>
  <si>
    <t>38612412</t>
  </si>
  <si>
    <t>79</t>
  </si>
  <si>
    <t>Дмитриевский сельсовет</t>
  </si>
  <si>
    <t>38612428</t>
  </si>
  <si>
    <t>80</t>
  </si>
  <si>
    <t>Донской сельсовет</t>
  </si>
  <si>
    <t>38612432</t>
  </si>
  <si>
    <t>81</t>
  </si>
  <si>
    <t>82</t>
  </si>
  <si>
    <t>Новоспасский сельсовет</t>
  </si>
  <si>
    <t>38612444</t>
  </si>
  <si>
    <t>83</t>
  </si>
  <si>
    <t>Свободинский сельсовет</t>
  </si>
  <si>
    <t>38612456</t>
  </si>
  <si>
    <t>84</t>
  </si>
  <si>
    <t>Солнечный сельсовет</t>
  </si>
  <si>
    <t>38612466</t>
  </si>
  <si>
    <t>85</t>
  </si>
  <si>
    <t>Тазовский сельсовет</t>
  </si>
  <si>
    <t>38612468</t>
  </si>
  <si>
    <t>86</t>
  </si>
  <si>
    <t>поселок Золотухино</t>
  </si>
  <si>
    <t>38612151</t>
  </si>
  <si>
    <t>87</t>
  </si>
  <si>
    <t>Касторенский муниципальный район</t>
  </si>
  <si>
    <t>38614000</t>
  </si>
  <si>
    <t>38614408</t>
  </si>
  <si>
    <t>88</t>
  </si>
  <si>
    <t>Андреевский сельсовет</t>
  </si>
  <si>
    <t>38614410</t>
  </si>
  <si>
    <t>89</t>
  </si>
  <si>
    <t>Верхнеграйворонский сельсовет</t>
  </si>
  <si>
    <t>38614416</t>
  </si>
  <si>
    <t>90</t>
  </si>
  <si>
    <t>Егорьевский сельсовет</t>
  </si>
  <si>
    <t>38614428</t>
  </si>
  <si>
    <t>91</t>
  </si>
  <si>
    <t>Жерновецкий сельсовет</t>
  </si>
  <si>
    <t>38614432</t>
  </si>
  <si>
    <t>92</t>
  </si>
  <si>
    <t>93</t>
  </si>
  <si>
    <t>Котовский сельсовет</t>
  </si>
  <si>
    <t>38614436</t>
  </si>
  <si>
    <t>94</t>
  </si>
  <si>
    <t>Краснодолинский сельсовет</t>
  </si>
  <si>
    <t>38614440</t>
  </si>
  <si>
    <t>95</t>
  </si>
  <si>
    <t>Краснознаменский сельсовет</t>
  </si>
  <si>
    <t>38614444</t>
  </si>
  <si>
    <t>96</t>
  </si>
  <si>
    <t>Лачиновский сельсовет</t>
  </si>
  <si>
    <t>38614448</t>
  </si>
  <si>
    <t>97</t>
  </si>
  <si>
    <t>Ленинский сельсовет</t>
  </si>
  <si>
    <t>38614452</t>
  </si>
  <si>
    <t>98</t>
  </si>
  <si>
    <t>Ореховский сельсовет</t>
  </si>
  <si>
    <t>38614464</t>
  </si>
  <si>
    <t>99</t>
  </si>
  <si>
    <t>Семеновский сельсовет</t>
  </si>
  <si>
    <t>38614472</t>
  </si>
  <si>
    <t>100</t>
  </si>
  <si>
    <t>Успенский сельсовет</t>
  </si>
  <si>
    <t>38614476</t>
  </si>
  <si>
    <t>101</t>
  </si>
  <si>
    <t>поселок Касторное</t>
  </si>
  <si>
    <t>38614151</t>
  </si>
  <si>
    <t>102</t>
  </si>
  <si>
    <t>поселок Новокасторное</t>
  </si>
  <si>
    <t>38614153</t>
  </si>
  <si>
    <t>103</t>
  </si>
  <si>
    <t>поселок Олымский</t>
  </si>
  <si>
    <t>38614154</t>
  </si>
  <si>
    <t>104</t>
  </si>
  <si>
    <t>Конышевский муниципальный район</t>
  </si>
  <si>
    <t>38616000</t>
  </si>
  <si>
    <t>Беляевский сельсовет</t>
  </si>
  <si>
    <t>38616404</t>
  </si>
  <si>
    <t>105</t>
  </si>
  <si>
    <t>Ваблинский сельсовет</t>
  </si>
  <si>
    <t>38616408</t>
  </si>
  <si>
    <t>106</t>
  </si>
  <si>
    <t>Захарковский сельсовет</t>
  </si>
  <si>
    <t>38616420</t>
  </si>
  <si>
    <t>107</t>
  </si>
  <si>
    <t>108</t>
  </si>
  <si>
    <t>Малогородьковский сельсовет</t>
  </si>
  <si>
    <t>38616426</t>
  </si>
  <si>
    <t>109</t>
  </si>
  <si>
    <t>Машкинский сельсовет</t>
  </si>
  <si>
    <t>38616428</t>
  </si>
  <si>
    <t>110</t>
  </si>
  <si>
    <t>Наумовский сельсовет</t>
  </si>
  <si>
    <t>38616432</t>
  </si>
  <si>
    <t>111</t>
  </si>
  <si>
    <t>Платавский сельсовет</t>
  </si>
  <si>
    <t>38616436</t>
  </si>
  <si>
    <t>112</t>
  </si>
  <si>
    <t>Прилепский сельсовет</t>
  </si>
  <si>
    <t>38616440</t>
  </si>
  <si>
    <t>113</t>
  </si>
  <si>
    <t>Старобелицкий сельсовет</t>
  </si>
  <si>
    <t>38616444</t>
  </si>
  <si>
    <t>114</t>
  </si>
  <si>
    <t>поселок Конышевка</t>
  </si>
  <si>
    <t>38616151</t>
  </si>
  <si>
    <t>115</t>
  </si>
  <si>
    <t>Кореневский муниципальный район</t>
  </si>
  <si>
    <t>38618000</t>
  </si>
  <si>
    <t>Викторовский сельсовет</t>
  </si>
  <si>
    <t>38618412</t>
  </si>
  <si>
    <t>116</t>
  </si>
  <si>
    <t>Комаровский сельсовет</t>
  </si>
  <si>
    <t>38618416</t>
  </si>
  <si>
    <t>117</t>
  </si>
  <si>
    <t>118</t>
  </si>
  <si>
    <t>Кореневский сельсовет</t>
  </si>
  <si>
    <t>38618420</t>
  </si>
  <si>
    <t>119</t>
  </si>
  <si>
    <t>38618428</t>
  </si>
  <si>
    <t>120</t>
  </si>
  <si>
    <t>Ольговский сельсовет</t>
  </si>
  <si>
    <t>38618432</t>
  </si>
  <si>
    <t>121</t>
  </si>
  <si>
    <t>Пушкарский сельсовет</t>
  </si>
  <si>
    <t>38618436</t>
  </si>
  <si>
    <t>122</t>
  </si>
  <si>
    <t>Снагостский сельсовет</t>
  </si>
  <si>
    <t>38618444</t>
  </si>
  <si>
    <t>123</t>
  </si>
  <si>
    <t>Толпинский сельсовет</t>
  </si>
  <si>
    <t>38618448</t>
  </si>
  <si>
    <t>124</t>
  </si>
  <si>
    <t>Шептуховский сельсовет</t>
  </si>
  <si>
    <t>38618452</t>
  </si>
  <si>
    <t>125</t>
  </si>
  <si>
    <t>поселок Коренево</t>
  </si>
  <si>
    <t>38618151</t>
  </si>
  <si>
    <t>126</t>
  </si>
  <si>
    <t>38620000</t>
  </si>
  <si>
    <t>133</t>
  </si>
  <si>
    <t>Курчатовский муниципальный район</t>
  </si>
  <si>
    <t>38621000</t>
  </si>
  <si>
    <t>Дичнянский сельсовет</t>
  </si>
  <si>
    <t>38621442</t>
  </si>
  <si>
    <t>145</t>
  </si>
  <si>
    <t>Дружненский сельсовет</t>
  </si>
  <si>
    <t>38621410</t>
  </si>
  <si>
    <t>146</t>
  </si>
  <si>
    <t>Колпаковский сельсовет</t>
  </si>
  <si>
    <t>38621418</t>
  </si>
  <si>
    <t>147</t>
  </si>
  <si>
    <t>Костельцевский сельсовет</t>
  </si>
  <si>
    <t>38621425</t>
  </si>
  <si>
    <t>148</t>
  </si>
  <si>
    <t>149</t>
  </si>
  <si>
    <t>Макаровский сельсовет</t>
  </si>
  <si>
    <t>38621422</t>
  </si>
  <si>
    <t>150</t>
  </si>
  <si>
    <t>Чаплинский сельсовет</t>
  </si>
  <si>
    <t>38621449</t>
  </si>
  <si>
    <t>151</t>
  </si>
  <si>
    <t>поселок Иванино</t>
  </si>
  <si>
    <t>38621152</t>
  </si>
  <si>
    <t>152</t>
  </si>
  <si>
    <t>поселок имени Карла Либкнехта</t>
  </si>
  <si>
    <t>38621153</t>
  </si>
  <si>
    <t>153</t>
  </si>
  <si>
    <t>Льговский муниципальный район</t>
  </si>
  <si>
    <t>38622000</t>
  </si>
  <si>
    <t>Большеугонский сельсовет</t>
  </si>
  <si>
    <t>38622410</t>
  </si>
  <si>
    <t>154</t>
  </si>
  <si>
    <t>Вышнедеревенский сельсовет</t>
  </si>
  <si>
    <t>38622417</t>
  </si>
  <si>
    <t>155</t>
  </si>
  <si>
    <t>Городенский сельсовет</t>
  </si>
  <si>
    <t>38622420</t>
  </si>
  <si>
    <t>156</t>
  </si>
  <si>
    <t>Густомойский сельсовет</t>
  </si>
  <si>
    <t>38622424</t>
  </si>
  <si>
    <t>157</t>
  </si>
  <si>
    <t>Иванчиковский сельсовет</t>
  </si>
  <si>
    <t>38622435</t>
  </si>
  <si>
    <t>158</t>
  </si>
  <si>
    <t>Кудинцевский сельсовет</t>
  </si>
  <si>
    <t>38622450</t>
  </si>
  <si>
    <t>159</t>
  </si>
  <si>
    <t>160</t>
  </si>
  <si>
    <t>Марицкий сельсовет</t>
  </si>
  <si>
    <t>38622464</t>
  </si>
  <si>
    <t>161</t>
  </si>
  <si>
    <t>Селекционный сельсовет</t>
  </si>
  <si>
    <t>38622477</t>
  </si>
  <si>
    <t>162</t>
  </si>
  <si>
    <t>Мантуровский муниципальный район</t>
  </si>
  <si>
    <t>38623000</t>
  </si>
  <si>
    <t>2 Засеймский сельсовет</t>
  </si>
  <si>
    <t>38623410</t>
  </si>
  <si>
    <t>163</t>
  </si>
  <si>
    <t>Куськинский сельсовет</t>
  </si>
  <si>
    <t>38623419</t>
  </si>
  <si>
    <t>164</t>
  </si>
  <si>
    <t>165</t>
  </si>
  <si>
    <t>Мантуровский сельсовет</t>
  </si>
  <si>
    <t>38623422</t>
  </si>
  <si>
    <t>166</t>
  </si>
  <si>
    <t>Останинский сельсовет</t>
  </si>
  <si>
    <t>38623426</t>
  </si>
  <si>
    <t>167</t>
  </si>
  <si>
    <t>Репецкий сельсовет</t>
  </si>
  <si>
    <t>38623436</t>
  </si>
  <si>
    <t>168</t>
  </si>
  <si>
    <t>Сеймский сельсовет</t>
  </si>
  <si>
    <t>38623441</t>
  </si>
  <si>
    <t>169</t>
  </si>
  <si>
    <t>Ястребовский сельсовет</t>
  </si>
  <si>
    <t>38623460</t>
  </si>
  <si>
    <t>170</t>
  </si>
  <si>
    <t>Медвенский муниципальный район</t>
  </si>
  <si>
    <t>38624000</t>
  </si>
  <si>
    <t>Амосовский сельсовет</t>
  </si>
  <si>
    <t>38624404</t>
  </si>
  <si>
    <t>171</t>
  </si>
  <si>
    <t>Высокский сельсовет</t>
  </si>
  <si>
    <t>38624408</t>
  </si>
  <si>
    <t>172</t>
  </si>
  <si>
    <t>Вышнереутчанский сельсовет</t>
  </si>
  <si>
    <t>38624416</t>
  </si>
  <si>
    <t>173</t>
  </si>
  <si>
    <t>Гостомлянский сельсовет</t>
  </si>
  <si>
    <t>38624420</t>
  </si>
  <si>
    <t>174</t>
  </si>
  <si>
    <t>Китаевский сельсовет</t>
  </si>
  <si>
    <t>38624424</t>
  </si>
  <si>
    <t>175</t>
  </si>
  <si>
    <t>176</t>
  </si>
  <si>
    <t>Нижнереутчанский сельсовет</t>
  </si>
  <si>
    <t>38624436</t>
  </si>
  <si>
    <t>177</t>
  </si>
  <si>
    <t>Паникинский сельсовет</t>
  </si>
  <si>
    <t>38624440</t>
  </si>
  <si>
    <t>178</t>
  </si>
  <si>
    <t>Панинский сельсовет</t>
  </si>
  <si>
    <t>38624444</t>
  </si>
  <si>
    <t>179</t>
  </si>
  <si>
    <t>Черемошнянский сельсовет</t>
  </si>
  <si>
    <t>38624456</t>
  </si>
  <si>
    <t>180</t>
  </si>
  <si>
    <t>поселок Медвенка</t>
  </si>
  <si>
    <t>38624151</t>
  </si>
  <si>
    <t>181</t>
  </si>
  <si>
    <t>Обоянский муниципальный район</t>
  </si>
  <si>
    <t>38626000</t>
  </si>
  <si>
    <t>Афанасьевский сельсовет</t>
  </si>
  <si>
    <t>38626404</t>
  </si>
  <si>
    <t>182</t>
  </si>
  <si>
    <t>Бабинский сельсовет</t>
  </si>
  <si>
    <t>38626408</t>
  </si>
  <si>
    <t>183</t>
  </si>
  <si>
    <t>Башкатовский сельсовет</t>
  </si>
  <si>
    <t>38626412</t>
  </si>
  <si>
    <t>184</t>
  </si>
  <si>
    <t>Быкановский сельсовет</t>
  </si>
  <si>
    <t>38626420</t>
  </si>
  <si>
    <t>185</t>
  </si>
  <si>
    <t>Гридасовский сельсовет</t>
  </si>
  <si>
    <t>38626424</t>
  </si>
  <si>
    <t>186</t>
  </si>
  <si>
    <t>Зоринский сельсовет</t>
  </si>
  <si>
    <t>38626432</t>
  </si>
  <si>
    <t>187</t>
  </si>
  <si>
    <t>Каменский сельсовет</t>
  </si>
  <si>
    <t>38626436</t>
  </si>
  <si>
    <t>188</t>
  </si>
  <si>
    <t>Котельниковский сельсовет</t>
  </si>
  <si>
    <t>38626444</t>
  </si>
  <si>
    <t>189</t>
  </si>
  <si>
    <t>190</t>
  </si>
  <si>
    <t>Рудавский сельсовет</t>
  </si>
  <si>
    <t>38626456</t>
  </si>
  <si>
    <t>191</t>
  </si>
  <si>
    <t>Рыбино-Будский сельсовет</t>
  </si>
  <si>
    <t>38626460</t>
  </si>
  <si>
    <t>192</t>
  </si>
  <si>
    <t>Усланский сельсовет</t>
  </si>
  <si>
    <t>38626468</t>
  </si>
  <si>
    <t>193</t>
  </si>
  <si>
    <t>Шевелевский сельсовет</t>
  </si>
  <si>
    <t>38626472</t>
  </si>
  <si>
    <t>194</t>
  </si>
  <si>
    <t>город Обоянь</t>
  </si>
  <si>
    <t>38626101</t>
  </si>
  <si>
    <t>195</t>
  </si>
  <si>
    <t>Октябрьский муниципальный район</t>
  </si>
  <si>
    <t>38628000</t>
  </si>
  <si>
    <t>Артюховский сельсовет</t>
  </si>
  <si>
    <t>38628404</t>
  </si>
  <si>
    <t>196</t>
  </si>
  <si>
    <t>Большедолженковский сельсовет</t>
  </si>
  <si>
    <t>38628408</t>
  </si>
  <si>
    <t>197</t>
  </si>
  <si>
    <t>Дьяконовский сельсовет</t>
  </si>
  <si>
    <t>38628412</t>
  </si>
  <si>
    <t>198</t>
  </si>
  <si>
    <t>Катыринский сельсовет</t>
  </si>
  <si>
    <t>38628416</t>
  </si>
  <si>
    <t>199</t>
  </si>
  <si>
    <t>Лобазовский сельсовет</t>
  </si>
  <si>
    <t>38628420</t>
  </si>
  <si>
    <t>200</t>
  </si>
  <si>
    <t>38628424</t>
  </si>
  <si>
    <t>201</t>
  </si>
  <si>
    <t>202</t>
  </si>
  <si>
    <t>Плотавский сельсовет</t>
  </si>
  <si>
    <t>38628426</t>
  </si>
  <si>
    <t>203</t>
  </si>
  <si>
    <t>Старковский сельсовет</t>
  </si>
  <si>
    <t>38628428</t>
  </si>
  <si>
    <t>204</t>
  </si>
  <si>
    <t>Филипповский сельсовет</t>
  </si>
  <si>
    <t>38628432</t>
  </si>
  <si>
    <t>205</t>
  </si>
  <si>
    <t>Черницынский сельсовет</t>
  </si>
  <si>
    <t>38628436</t>
  </si>
  <si>
    <t>206</t>
  </si>
  <si>
    <t>поселок Прямицыно</t>
  </si>
  <si>
    <t>38628151</t>
  </si>
  <si>
    <t>207</t>
  </si>
  <si>
    <t>Поныровский муниципальный район</t>
  </si>
  <si>
    <t>38630000</t>
  </si>
  <si>
    <t>1-й Поныровский сельсовет</t>
  </si>
  <si>
    <t>38630436</t>
  </si>
  <si>
    <t>208</t>
  </si>
  <si>
    <t>2-й Поныровский сельсовет</t>
  </si>
  <si>
    <t>38630440</t>
  </si>
  <si>
    <t>209</t>
  </si>
  <si>
    <t>Верхне-Смородинский сельсовет</t>
  </si>
  <si>
    <t>38630416</t>
  </si>
  <si>
    <t>210</t>
  </si>
  <si>
    <t>Возовский сельсовет</t>
  </si>
  <si>
    <t>38630418</t>
  </si>
  <si>
    <t>211</t>
  </si>
  <si>
    <t>Горяйновский сельсовет</t>
  </si>
  <si>
    <t>38630419</t>
  </si>
  <si>
    <t>212</t>
  </si>
  <si>
    <t>Ольховатский сельсовет</t>
  </si>
  <si>
    <t>38630428</t>
  </si>
  <si>
    <t>213</t>
  </si>
  <si>
    <t>Первомайский сельсовет</t>
  </si>
  <si>
    <t>38630432</t>
  </si>
  <si>
    <t>214</t>
  </si>
  <si>
    <t>215</t>
  </si>
  <si>
    <t>поселок Поныри</t>
  </si>
  <si>
    <t>38630151</t>
  </si>
  <si>
    <t>216</t>
  </si>
  <si>
    <t>Пристенский муниципальный район</t>
  </si>
  <si>
    <t>38632000</t>
  </si>
  <si>
    <t>Бобрышевский сельсовет</t>
  </si>
  <si>
    <t>38632404</t>
  </si>
  <si>
    <t>217</t>
  </si>
  <si>
    <t>38632428</t>
  </si>
  <si>
    <t>218</t>
  </si>
  <si>
    <t>Нагольненский сельсовет</t>
  </si>
  <si>
    <t>38632432</t>
  </si>
  <si>
    <t>219</t>
  </si>
  <si>
    <t>220</t>
  </si>
  <si>
    <t>Пристенский сельсовет</t>
  </si>
  <si>
    <t>38632444</t>
  </si>
  <si>
    <t>221</t>
  </si>
  <si>
    <t>Сазановский сельсовет</t>
  </si>
  <si>
    <t>38632460</t>
  </si>
  <si>
    <t>222</t>
  </si>
  <si>
    <t>Среднеольшанский сельсовет</t>
  </si>
  <si>
    <t>38632464</t>
  </si>
  <si>
    <t>223</t>
  </si>
  <si>
    <t>Черновецкий сельсовет</t>
  </si>
  <si>
    <t>38632473</t>
  </si>
  <si>
    <t>224</t>
  </si>
  <si>
    <t>Ярыгинский сельсовет</t>
  </si>
  <si>
    <t>38632480</t>
  </si>
  <si>
    <t>225</t>
  </si>
  <si>
    <t>поселок Кировский</t>
  </si>
  <si>
    <t>38632152</t>
  </si>
  <si>
    <t>226</t>
  </si>
  <si>
    <t>поселок Пристень</t>
  </si>
  <si>
    <t>38632151</t>
  </si>
  <si>
    <t>227</t>
  </si>
  <si>
    <t>Рыльский муниципальный район</t>
  </si>
  <si>
    <t>38634000</t>
  </si>
  <si>
    <t>Березниковский сельсовет</t>
  </si>
  <si>
    <t>38634412</t>
  </si>
  <si>
    <t>228</t>
  </si>
  <si>
    <t>Дуровский сельсовет</t>
  </si>
  <si>
    <t>38634432</t>
  </si>
  <si>
    <t>229</t>
  </si>
  <si>
    <t>Ивановский сельсовет</t>
  </si>
  <si>
    <t>38634436</t>
  </si>
  <si>
    <t>230</t>
  </si>
  <si>
    <t>Козинский сельсовет</t>
  </si>
  <si>
    <t>38634443</t>
  </si>
  <si>
    <t>231</t>
  </si>
  <si>
    <t>Крупецкий сельсовет</t>
  </si>
  <si>
    <t>38634448</t>
  </si>
  <si>
    <t>232</t>
  </si>
  <si>
    <t>Малогнеушевский сельсовет</t>
  </si>
  <si>
    <t>38634460</t>
  </si>
  <si>
    <t>233</t>
  </si>
  <si>
    <t>38634464</t>
  </si>
  <si>
    <t>234</t>
  </si>
  <si>
    <t>Некрасовский сельсовет</t>
  </si>
  <si>
    <t>38634468</t>
  </si>
  <si>
    <t>235</t>
  </si>
  <si>
    <t>Нехаевский сельсовет</t>
  </si>
  <si>
    <t>38634472</t>
  </si>
  <si>
    <t>236</t>
  </si>
  <si>
    <t>Никольниковский сельсовет</t>
  </si>
  <si>
    <t>38634476</t>
  </si>
  <si>
    <t>237</t>
  </si>
  <si>
    <t>Октябрьский сельсовет</t>
  </si>
  <si>
    <t>38634484</t>
  </si>
  <si>
    <t>238</t>
  </si>
  <si>
    <t>Пригородненский сельсовет</t>
  </si>
  <si>
    <t>38634488</t>
  </si>
  <si>
    <t>239</t>
  </si>
  <si>
    <t>240</t>
  </si>
  <si>
    <t>38634492</t>
  </si>
  <si>
    <t>241</t>
  </si>
  <si>
    <t>Щекинский сельсовет</t>
  </si>
  <si>
    <t>38634496</t>
  </si>
  <si>
    <t>242</t>
  </si>
  <si>
    <t>город Рыльск</t>
  </si>
  <si>
    <t>38634101</t>
  </si>
  <si>
    <t>243</t>
  </si>
  <si>
    <t>Советский муниципальный район</t>
  </si>
  <si>
    <t>38636000</t>
  </si>
  <si>
    <t>Александровский сельсовет</t>
  </si>
  <si>
    <t>38636404</t>
  </si>
  <si>
    <t>244</t>
  </si>
  <si>
    <t>Верхнерагозецкий сельсовет</t>
  </si>
  <si>
    <t>38636412</t>
  </si>
  <si>
    <t>245</t>
  </si>
  <si>
    <t>Волжанский сельсовет</t>
  </si>
  <si>
    <t>38636416</t>
  </si>
  <si>
    <t>246</t>
  </si>
  <si>
    <t>38636424</t>
  </si>
  <si>
    <t>247</t>
  </si>
  <si>
    <t>Ледовский сельсовет</t>
  </si>
  <si>
    <t>38636432</t>
  </si>
  <si>
    <t>248</t>
  </si>
  <si>
    <t>38636434</t>
  </si>
  <si>
    <t>249</t>
  </si>
  <si>
    <t>Мансуровский сельсовет</t>
  </si>
  <si>
    <t>38636436</t>
  </si>
  <si>
    <t>250</t>
  </si>
  <si>
    <t>Михайлоанненский сельсовет</t>
  </si>
  <si>
    <t>38636440</t>
  </si>
  <si>
    <t>251</t>
  </si>
  <si>
    <t>Нижнеграйворонский сельсовет</t>
  </si>
  <si>
    <t>38636448</t>
  </si>
  <si>
    <t>252</t>
  </si>
  <si>
    <t>253</t>
  </si>
  <si>
    <t>Советский сельсовет</t>
  </si>
  <si>
    <t>38636464</t>
  </si>
  <si>
    <t>254</t>
  </si>
  <si>
    <t>поселок Кшенский</t>
  </si>
  <si>
    <t>38636151</t>
  </si>
  <si>
    <t>255</t>
  </si>
  <si>
    <t>Солнцевский муниципальный район</t>
  </si>
  <si>
    <t>38638000</t>
  </si>
  <si>
    <t>Бунинский сельсовет</t>
  </si>
  <si>
    <t>38638408</t>
  </si>
  <si>
    <t>256</t>
  </si>
  <si>
    <t>Зуевский сельсовет</t>
  </si>
  <si>
    <t>38638428</t>
  </si>
  <si>
    <t>257</t>
  </si>
  <si>
    <t>38638432</t>
  </si>
  <si>
    <t>258</t>
  </si>
  <si>
    <t>259</t>
  </si>
  <si>
    <t>Старолещинский сельсовет</t>
  </si>
  <si>
    <t>38638448</t>
  </si>
  <si>
    <t>260</t>
  </si>
  <si>
    <t>Субботинский сельсовет</t>
  </si>
  <si>
    <t>38638452</t>
  </si>
  <si>
    <t>261</t>
  </si>
  <si>
    <t>38638460</t>
  </si>
  <si>
    <t>262</t>
  </si>
  <si>
    <t>поселок Солнцево</t>
  </si>
  <si>
    <t>38638151</t>
  </si>
  <si>
    <t>263</t>
  </si>
  <si>
    <t>Суджанский муниципальный район</t>
  </si>
  <si>
    <t>38640000</t>
  </si>
  <si>
    <t>Борковский сельсовет</t>
  </si>
  <si>
    <t>38640410</t>
  </si>
  <si>
    <t>264</t>
  </si>
  <si>
    <t>Воробжанский сельсовет</t>
  </si>
  <si>
    <t>38640415</t>
  </si>
  <si>
    <t>265</t>
  </si>
  <si>
    <t>Гончаровский сельсовет</t>
  </si>
  <si>
    <t>38640421</t>
  </si>
  <si>
    <t>266</t>
  </si>
  <si>
    <t>Гуевский сельсовет</t>
  </si>
  <si>
    <t>38640424</t>
  </si>
  <si>
    <t>267</t>
  </si>
  <si>
    <t>Замостянский сельсовет</t>
  </si>
  <si>
    <t>38640430</t>
  </si>
  <si>
    <t>268</t>
  </si>
  <si>
    <t>Заолешенский сельсовет</t>
  </si>
  <si>
    <t>38640433</t>
  </si>
  <si>
    <t>269</t>
  </si>
  <si>
    <t>Казачелокнянский сельсовет</t>
  </si>
  <si>
    <t>38640438</t>
  </si>
  <si>
    <t>270</t>
  </si>
  <si>
    <t>Малолокнянский сельсовет</t>
  </si>
  <si>
    <t>38640450</t>
  </si>
  <si>
    <t>271</t>
  </si>
  <si>
    <t>Мартыновский сельсовет</t>
  </si>
  <si>
    <t>38640453</t>
  </si>
  <si>
    <t>272</t>
  </si>
  <si>
    <t>Махновский сельсовет</t>
  </si>
  <si>
    <t>38640456</t>
  </si>
  <si>
    <t>273</t>
  </si>
  <si>
    <t>Новоивановский сельсовет</t>
  </si>
  <si>
    <t>38640463</t>
  </si>
  <si>
    <t>274</t>
  </si>
  <si>
    <t>Плеховский сельсовет</t>
  </si>
  <si>
    <t>38640466</t>
  </si>
  <si>
    <t>275</t>
  </si>
  <si>
    <t>Погребской сельсовет</t>
  </si>
  <si>
    <t>38640469</t>
  </si>
  <si>
    <t>276</t>
  </si>
  <si>
    <t>Пореченский сельсовет</t>
  </si>
  <si>
    <t>38640472</t>
  </si>
  <si>
    <t>277</t>
  </si>
  <si>
    <t>Свердликовский сельсовет</t>
  </si>
  <si>
    <t>38640474</t>
  </si>
  <si>
    <t>278</t>
  </si>
  <si>
    <t>279</t>
  </si>
  <si>
    <t>Уланковский сельсовет</t>
  </si>
  <si>
    <t>38640480</t>
  </si>
  <si>
    <t>280</t>
  </si>
  <si>
    <t>город Суджа</t>
  </si>
  <si>
    <t>38640101</t>
  </si>
  <si>
    <t>281</t>
  </si>
  <si>
    <t>Тимский муниципальный район</t>
  </si>
  <si>
    <t>38642000</t>
  </si>
  <si>
    <t>Барковский сельсовет</t>
  </si>
  <si>
    <t>38642401</t>
  </si>
  <si>
    <t>282</t>
  </si>
  <si>
    <t>Быстрецкий сельсовет</t>
  </si>
  <si>
    <t>38642402</t>
  </si>
  <si>
    <t>283</t>
  </si>
  <si>
    <t>Выгорновский сельсовет</t>
  </si>
  <si>
    <t>38642404</t>
  </si>
  <si>
    <t>284</t>
  </si>
  <si>
    <t>38642432</t>
  </si>
  <si>
    <t>285</t>
  </si>
  <si>
    <t>Погоженский сельсовет</t>
  </si>
  <si>
    <t>38642444</t>
  </si>
  <si>
    <t>286</t>
  </si>
  <si>
    <t>Становский сельсовет</t>
  </si>
  <si>
    <t>38642468</t>
  </si>
  <si>
    <t>287</t>
  </si>
  <si>
    <t>288</t>
  </si>
  <si>
    <t>Тимский сельсовет</t>
  </si>
  <si>
    <t>38642472</t>
  </si>
  <si>
    <t>289</t>
  </si>
  <si>
    <t>38642476</t>
  </si>
  <si>
    <t>290</t>
  </si>
  <si>
    <t>поселок Тим</t>
  </si>
  <si>
    <t>38642151</t>
  </si>
  <si>
    <t>291</t>
  </si>
  <si>
    <t>Фатежский муниципальный район</t>
  </si>
  <si>
    <t>38644000</t>
  </si>
  <si>
    <t>Банинский сельсовет</t>
  </si>
  <si>
    <t>38644402</t>
  </si>
  <si>
    <t>292</t>
  </si>
  <si>
    <t>Большеанненковский сельсовет</t>
  </si>
  <si>
    <t>38644408</t>
  </si>
  <si>
    <t>293</t>
  </si>
  <si>
    <t>Большежировский сельсовет</t>
  </si>
  <si>
    <t>38644412</t>
  </si>
  <si>
    <t>294</t>
  </si>
  <si>
    <t>Верхнелюбажский сельсовет</t>
  </si>
  <si>
    <t>38644416</t>
  </si>
  <si>
    <t>295</t>
  </si>
  <si>
    <t>Верхнехотемльский сельсовет</t>
  </si>
  <si>
    <t>38644420</t>
  </si>
  <si>
    <t>296</t>
  </si>
  <si>
    <t>Глебовский сельсовет</t>
  </si>
  <si>
    <t>38644424</t>
  </si>
  <si>
    <t>297</t>
  </si>
  <si>
    <t>Миленинский сельсовет</t>
  </si>
  <si>
    <t>38644444</t>
  </si>
  <si>
    <t>298</t>
  </si>
  <si>
    <t>Молотычевский сельсовет</t>
  </si>
  <si>
    <t>38644448</t>
  </si>
  <si>
    <t>299</t>
  </si>
  <si>
    <t>Русановский сельсовет</t>
  </si>
  <si>
    <t>38644464</t>
  </si>
  <si>
    <t>300</t>
  </si>
  <si>
    <t>38644468</t>
  </si>
  <si>
    <t>301</t>
  </si>
  <si>
    <t>302</t>
  </si>
  <si>
    <t>город Фатеж</t>
  </si>
  <si>
    <t>38644101</t>
  </si>
  <si>
    <t>303</t>
  </si>
  <si>
    <t>Хомутовский муниципальный район</t>
  </si>
  <si>
    <t>38646000</t>
  </si>
  <si>
    <t>Гламаздинский сельсовет</t>
  </si>
  <si>
    <t>38646412</t>
  </si>
  <si>
    <t>304</t>
  </si>
  <si>
    <t>Дубовицкий сельсовет</t>
  </si>
  <si>
    <t>38646416</t>
  </si>
  <si>
    <t>305</t>
  </si>
  <si>
    <t>Калиновский сельсовет</t>
  </si>
  <si>
    <t>38646420</t>
  </si>
  <si>
    <t>306</t>
  </si>
  <si>
    <t>Ольховский сельсовет</t>
  </si>
  <si>
    <t>38646448</t>
  </si>
  <si>
    <t>307</t>
  </si>
  <si>
    <t>Петровский сельсовет</t>
  </si>
  <si>
    <t>38646452</t>
  </si>
  <si>
    <t>308</t>
  </si>
  <si>
    <t>Романовский сельсовет</t>
  </si>
  <si>
    <t>38646464</t>
  </si>
  <si>
    <t>309</t>
  </si>
  <si>
    <t>Сальновский сельсовет</t>
  </si>
  <si>
    <t>38646468</t>
  </si>
  <si>
    <t>310</t>
  </si>
  <si>
    <t>Сковородневский сельсовет</t>
  </si>
  <si>
    <t>38646472</t>
  </si>
  <si>
    <t>311</t>
  </si>
  <si>
    <t>312</t>
  </si>
  <si>
    <t>поселок Хомутовка</t>
  </si>
  <si>
    <t>38646151</t>
  </si>
  <si>
    <t>313</t>
  </si>
  <si>
    <t>Черемисиновский муниципальный район</t>
  </si>
  <si>
    <t>38648000</t>
  </si>
  <si>
    <t>Краснополянский сельсовет</t>
  </si>
  <si>
    <t>38648406</t>
  </si>
  <si>
    <t>314</t>
  </si>
  <si>
    <t>38648412</t>
  </si>
  <si>
    <t>315</t>
  </si>
  <si>
    <t>Ниженский сельсовет</t>
  </si>
  <si>
    <t>38648416</t>
  </si>
  <si>
    <t>316</t>
  </si>
  <si>
    <t>38648427</t>
  </si>
  <si>
    <t>317</t>
  </si>
  <si>
    <t>Покровский сельсовет</t>
  </si>
  <si>
    <t>38648428</t>
  </si>
  <si>
    <t>318</t>
  </si>
  <si>
    <t>38648432</t>
  </si>
  <si>
    <t>319</t>
  </si>
  <si>
    <t>Стакановский сельсовет</t>
  </si>
  <si>
    <t>38648436</t>
  </si>
  <si>
    <t>320</t>
  </si>
  <si>
    <t>Удеревский сельсовет</t>
  </si>
  <si>
    <t>38648444</t>
  </si>
  <si>
    <t>321</t>
  </si>
  <si>
    <t>322</t>
  </si>
  <si>
    <t>поселок Черемисиново</t>
  </si>
  <si>
    <t>38648151</t>
  </si>
  <si>
    <t>323</t>
  </si>
  <si>
    <t>Щигровский муниципальный район</t>
  </si>
  <si>
    <t>38650000</t>
  </si>
  <si>
    <t>Большезмеинский сельсовет</t>
  </si>
  <si>
    <t>38650402</t>
  </si>
  <si>
    <t>324</t>
  </si>
  <si>
    <t>38650448</t>
  </si>
  <si>
    <t>325</t>
  </si>
  <si>
    <t>Вышнеольховатский сельсовет</t>
  </si>
  <si>
    <t>38650404</t>
  </si>
  <si>
    <t>326</t>
  </si>
  <si>
    <t>Вязовский сельсовет</t>
  </si>
  <si>
    <t>38650408</t>
  </si>
  <si>
    <t>327</t>
  </si>
  <si>
    <t>Защитенский сельсовет</t>
  </si>
  <si>
    <t>38650412</t>
  </si>
  <si>
    <t>328</t>
  </si>
  <si>
    <t>38650416</t>
  </si>
  <si>
    <t>329</t>
  </si>
  <si>
    <t>Касиновский сельсовет</t>
  </si>
  <si>
    <t>38650418</t>
  </si>
  <si>
    <t>330</t>
  </si>
  <si>
    <t>Косоржанский сельсовет</t>
  </si>
  <si>
    <t>38650420</t>
  </si>
  <si>
    <t>331</t>
  </si>
  <si>
    <t>Кривцовский сельсовет</t>
  </si>
  <si>
    <t>38650424</t>
  </si>
  <si>
    <t>332</t>
  </si>
  <si>
    <t>Крутовский сельсовет</t>
  </si>
  <si>
    <t>38650428</t>
  </si>
  <si>
    <t>333</t>
  </si>
  <si>
    <t>Мелехинский сельсовет</t>
  </si>
  <si>
    <t>38650432</t>
  </si>
  <si>
    <t>334</t>
  </si>
  <si>
    <t>38650436</t>
  </si>
  <si>
    <t>335</t>
  </si>
  <si>
    <t>Озерский сельсовет</t>
  </si>
  <si>
    <t>38650438</t>
  </si>
  <si>
    <t>336</t>
  </si>
  <si>
    <t>Охочевский сельсовет</t>
  </si>
  <si>
    <t>38650440</t>
  </si>
  <si>
    <t>337</t>
  </si>
  <si>
    <t>38650444</t>
  </si>
  <si>
    <t>338</t>
  </si>
  <si>
    <t>Теребужский сельсовет</t>
  </si>
  <si>
    <t>38650452</t>
  </si>
  <si>
    <t>339</t>
  </si>
  <si>
    <t>Титовский сельсовет</t>
  </si>
  <si>
    <t>38650456</t>
  </si>
  <si>
    <t>340</t>
  </si>
  <si>
    <t>Троицкокраснянский сельсовет</t>
  </si>
  <si>
    <t>38650460</t>
  </si>
  <si>
    <t>341</t>
  </si>
  <si>
    <t>342</t>
  </si>
  <si>
    <t>город Железногорск</t>
  </si>
  <si>
    <t>38705000</t>
  </si>
  <si>
    <t>городской округ</t>
  </si>
  <si>
    <t>343</t>
  </si>
  <si>
    <t>город Курск</t>
  </si>
  <si>
    <t>38701000</t>
  </si>
  <si>
    <t>344</t>
  </si>
  <si>
    <t>город Курчатов</t>
  </si>
  <si>
    <t>38708000</t>
  </si>
  <si>
    <t>345</t>
  </si>
  <si>
    <t>город Льгов</t>
  </si>
  <si>
    <t>38710000</t>
  </si>
  <si>
    <t>346</t>
  </si>
  <si>
    <t>город Щигры</t>
  </si>
  <si>
    <t>38715000</t>
  </si>
  <si>
    <t>347</t>
  </si>
  <si>
    <t>NUMBER_POINT</t>
  </si>
  <si>
    <t>INVP_NAME</t>
  </si>
  <si>
    <t>INVP_ID</t>
  </si>
  <si>
    <t>L_START_DATE</t>
  </si>
  <si>
    <t>L_END_DATE</t>
  </si>
  <si>
    <t>L_DECISION_NAME</t>
  </si>
  <si>
    <t>L_DECISION_TYPE</t>
  </si>
  <si>
    <t>L_DECISION_NMBR</t>
  </si>
  <si>
    <t>L_DECISION_DATE</t>
  </si>
  <si>
    <t>Инвестиционная программа от 07.09.2020 АО "ТЭСК" в сфере холодного водоснабжения по развитию централизованной системы холодного водоснабжения, на территории городского округа Курск на 2021-2023 годы</t>
  </si>
  <si>
    <t>01.01.2021</t>
  </si>
  <si>
    <t>31.12.2023</t>
  </si>
  <si>
    <t>Инвестиционная программа от 22.07.2022 АО "ТЭСК" в сфере холодного водоснабжения по развитию централизованной системы холодного водоснабжения, на территории городского округа Курск на 2023-2025 годы</t>
  </si>
  <si>
    <t>01.01.2023</t>
  </si>
  <si>
    <t>31.12.2025</t>
  </si>
  <si>
    <t>Инвестиционная программа от 23.11.2023 МУП "Курскводоканал" в сфере водоснабжения и водоотведения по развитию систем водоcнабжения и водоотведения, на территории городского округа Курск на 2024-2027 годы</t>
  </si>
  <si>
    <t>01.01.2024</t>
  </si>
  <si>
    <t>31.12.2027</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</si>
  <si>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</si>
  <si>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</si>
  <si>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</si>
  <si>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</si>
  <si>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</si>
  <si>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</si>
  <si>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</si>
  <si>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</si>
  <si>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</si>
  <si>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</si>
  <si>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</si>
  <si>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</si>
  <si>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</si>
  <si>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</si>
  <si>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</si>
  <si>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</si>
  <si>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</si>
  <si>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</si>
  <si>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ID_TARIFF_NAME</t>
  </si>
  <si>
    <t>TARIFF_NAME</t>
  </si>
  <si>
    <t>VED_NAME</t>
  </si>
  <si>
    <t>4189671</t>
  </si>
  <si>
    <t>4189672</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</si>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</sst>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26" formatCode="000000"/>
    <numFmt numFmtId="227" formatCode="#,##0.000"/>
    <numFmt numFmtId="228" formatCode="#,##0.0000"/>
    <numFmt numFmtId="229" formatCode="dd\.mm\.yyyy"/>
    <numFmt numFmtId="230" formatCode="h:mm;@"/>
    <numFmt numFmtId="231" formatCode="_-* #,##0.00\ _₽_-;\-* #,##0.00\ _₽_-;_-* &quot;-&quot;??\ _₽_-;_-@_-"/>
    <numFmt numFmtId="232" formatCode="_-* #,##0\ _₽_-;\-* #,##0\ _₽_-;_-* &quot;-&quot;\ _₽_-;_-@_-"/>
    <numFmt numFmtId="233" formatCode="_-* #,##0.00\ &quot;₽&quot;_-;\-* #,##0.00\ &quot;₽&quot;_-;_-* &quot;-&quot;??\ &quot;₽&quot;_-;_-@_-"/>
    <numFmt numFmtId="234" formatCode="_-* #,##0\ &quot;₽&quot;_-;\-* #,##0\ &quot;₽&quot;_-;_-* &quot;-&quot;\ &quot;₽&quot;_-;_-@_-"/>
    <numFmt numFmtId="235" formatCode="_-* #,##0.00[$€-1]_-;\-* #,##0.00[$€-1]_-;_-* &quot;-&quot;??[$€-1]_-"/>
    <numFmt numFmtId="236"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31" fontId="6" fillId="0" borderId="0" applyFont="0" applyFill="0" applyBorder="0" applyNumberFormat="1">
      <alignment vertical="top"/>
    </xf>
    <xf numFmtId="232" fontId="6" fillId="0" borderId="0" applyFont="0" applyFill="0" applyBorder="0" applyNumberFormat="1">
      <alignment vertical="top"/>
    </xf>
    <xf numFmtId="233" fontId="6" fillId="0" borderId="0" applyFont="0" applyFill="0" applyBorder="0" applyNumberFormat="1">
      <alignment vertical="top"/>
    </xf>
    <xf numFmtId="23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35" fontId="20" fillId="0" borderId="0" applyFont="1" applyFill="0" applyBorder="0" applyNumberFormat="1"/>
    <xf numFmtId="38" fontId="21" fillId="0" borderId="0" applyFont="1" applyFill="0" applyBorder="0" applyNumberFormat="1">
      <alignment vertical="top"/>
    </xf>
    <xf numFmtId="236" fontId="22" fillId="33" borderId="0" applyFont="1" applyFill="1" applyBorder="0" applyNumberFormat="1">
      <protection locked="0"/>
    </xf>
    <xf numFmtId="0" fontId="23" fillId="0" borderId="0" applyFont="1" applyFill="0" applyBorder="0">
      <alignment vertical="center"/>
    </xf>
    <xf numFmtId="227" fontId="22" fillId="33" borderId="0" applyFont="1" applyFill="1" applyBorder="0" applyNumberFormat="1">
      <protection locked="0"/>
    </xf>
    <xf numFmtId="22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3668">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31" fontId="6" fillId="0" borderId="0" xfId="28" applyNumberFormat="1">
      <alignment vertical="top"/>
    </xf>
    <xf numFmtId="232" fontId="6" fillId="0" borderId="0" xfId="29" applyNumberFormat="1">
      <alignment vertical="top"/>
    </xf>
    <xf numFmtId="233" fontId="6" fillId="0" borderId="0" xfId="30" applyNumberFormat="1">
      <alignment vertical="top"/>
    </xf>
    <xf numFmtId="234"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35" fontId="20" fillId="0" borderId="0" xfId="49" applyFont="1" applyNumberFormat="1"/>
    <xf numFmtId="38" fontId="21" fillId="0" borderId="0" xfId="50" applyFont="1" applyNumberFormat="1">
      <alignment vertical="top"/>
    </xf>
    <xf numFmtId="236" fontId="22" fillId="33" borderId="0" xfId="51" applyFont="1" applyFill="1" applyNumberFormat="1">
      <protection locked="0"/>
    </xf>
    <xf numFmtId="0" fontId="23" fillId="0" borderId="0" xfId="52" applyFont="1">
      <alignment vertical="center"/>
    </xf>
    <xf numFmtId="227" fontId="22" fillId="33" borderId="0" xfId="53" applyFont="1" applyFill="1" applyNumberFormat="1">
      <protection locked="0"/>
    </xf>
    <xf numFmtId="22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31" fontId="31" fillId="0" borderId="0" xfId="28" applyFont="1" applyNumberFormat="1">
      <alignment vertical="top"/>
    </xf>
    <xf numFmtId="232" fontId="31" fillId="0" borderId="0" xfId="29" applyFont="1" applyNumberFormat="1">
      <alignment vertical="top"/>
    </xf>
    <xf numFmtId="233" fontId="31" fillId="0" borderId="0" xfId="30" applyFont="1" applyNumberFormat="1">
      <alignment vertical="top"/>
    </xf>
    <xf numFmtId="234"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26"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2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28"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28"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28"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26"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28"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28" fontId="22" fillId="39" borderId="13" xfId="0" applyFont="1" applyFill="1" applyBorder="1" applyNumberFormat="1">
      <alignment horizontal="right" vertical="center" wrapText="1"/>
      <protection locked="0"/>
    </xf>
    <xf numFmtId="22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27"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27"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27"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26"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26"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26"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29" fontId="0" fillId="39" borderId="12" xfId="0" applyFont="1" applyFill="1" applyBorder="1" applyNumberFormat="1">
      <alignment horizontal="left" vertical="center" wrapText="1" indent="1"/>
      <protection locked="0"/>
    </xf>
    <xf numFmtId="229" fontId="0" fillId="0" borderId="12" xfId="0" applyFont="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229" fontId="48" fillId="0" borderId="0" xfId="0" applyFont="1" applyNumberFormat="1">
      <alignment horizontal="center" vertical="center" wrapText="1"/>
    </xf>
    <xf numFmtId="229" fontId="48" fillId="0" borderId="12" xfId="0" applyFont="1" applyBorder="1" applyNumberFormat="1">
      <alignment horizontal="center" vertical="center" wrapText="1"/>
    </xf>
    <xf numFmtId="229" fontId="0" fillId="39" borderId="12" xfId="0" applyFont="1" applyFill="1" applyBorder="1" applyNumberFormat="1">
      <alignment horizontal="left" vertical="center" wrapText="1"/>
      <protection locked="0"/>
    </xf>
    <xf numFmtId="229" fontId="0" fillId="36" borderId="12" xfId="0" applyFont="1" applyFill="1" applyBorder="1" applyNumberFormat="1">
      <alignment horizontal="left" vertical="center" wrapText="1" indent="1"/>
      <protection locked="0"/>
    </xf>
    <xf numFmtId="229"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29" fontId="0" fillId="39" borderId="14" xfId="0" applyFont="1" applyFill="1" applyBorder="1" applyNumberFormat="1">
      <alignment horizontal="left" vertical="center" wrapText="1"/>
      <protection locked="0"/>
    </xf>
    <xf numFmtId="22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26"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26"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230" fontId="22" fillId="39" borderId="12" xfId="0" applyFont="1" applyFill="1" applyBorder="1" applyNumberFormat="1">
      <alignment horizontal="left" vertical="center" wrapText="1" indent="1"/>
      <protection locked="0"/>
    </xf>
    <xf numFmtId="22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29"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29" fontId="22" fillId="34"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2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26" fontId="22" fillId="0" borderId="17"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226"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2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29"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29"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229" fontId="0" fillId="39" borderId="12" xfId="0" applyFont="1" applyFill="1" applyBorder="1" applyNumberFormat="1">
      <alignment horizontal="left" vertical="center" wrapText="1" indent="1"/>
      <protection locked="0"/>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left" vertical="center" wrapText="1" indent="1"/>
      <protection locked="0"/>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29"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22" fillId="40" borderId="12" xfId="0" applyFont="1" applyFill="1" applyBorder="1" applyNumberFormat="1">
      <alignment horizontal="left" vertical="top" wrapText="1"/>
    </xf>
    <xf numFmtId="0" fontId="0"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pplyNumberFormat="1">
      <alignment horizontal="left" vertical="center" wrapText="1"/>
    </xf>
    <xf numFmtId="49" fontId="0" fillId="35" borderId="12" xfId="0" applyFont="1" applyFill="1" applyBorder="1" applyNumberFormat="1">
      <alignment horizontal="left"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0" xfId="0" applyFont="1" applyNumberForma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0" fontId="0" fillId="40" borderId="12" xfId="0" applyFont="1" applyFill="1" applyBorder="1" applyNumberFormat="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pplyNumberFormat="1">
      <alignment horizontal="left" vertical="center" indent="1"/>
    </xf>
    <xf numFmtId="0" fontId="0" fillId="0" borderId="0" xfId="0" applyFont="1" applyNumberFormat="1">
      <alignment horizontal="left" vertical="center" indent="1"/>
    </xf>
    <xf numFmtId="0" fontId="0" fillId="0" borderId="0" xfId="0" applyFont="1" applyNumberFormat="1">
      <alignment vertical="center"/>
    </xf>
    <xf numFmtId="49" fontId="22" fillId="40" borderId="36" xfId="0" applyFont="1" applyFill="1" applyBorder="1" applyNumberFormat="1">
      <alignment horizontal="center"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40" fillId="37" borderId="29" xfId="0" applyFont="1" applyFill="1" applyBorder="1" applyNumberFormat="1">
      <alignment horizontal="left" vertical="center"/>
    </xf>
    <xf numFmtId="49" fontId="0" fillId="39" borderId="12" xfId="0" applyFont="1" applyFill="1" applyBorder="1" applyNumberFormat="1">
      <alignment horizontal="left" vertical="center" wrapText="1"/>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0" fillId="40" borderId="12" xfId="0" applyFont="1" applyFill="1" applyBorder="1" applyNumberFormat="1">
      <alignment horizontal="left" vertical="top"/>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5" xfId="0" applyFont="1" applyFill="1" applyBorder="1" applyNumberFormat="1">
      <alignment horizontal="lef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0" fillId="37" borderId="15" xfId="0" applyFont="1" applyFill="1" applyBorder="1" applyNumberFormat="1">
      <alignment vertical="center"/>
    </xf>
    <xf numFmtId="0" fontId="40" fillId="37" borderId="13" xfId="0" applyFont="1" applyFill="1" applyBorder="1" applyNumberFormat="1">
      <alignment horizontal="lef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229"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27" fontId="47" fillId="0" borderId="12" xfId="0" applyFont="1" applyBorder="1" applyNumberFormat="1">
      <alignment horizontal="right" vertical="center" wrapText="1"/>
    </xf>
    <xf numFmtId="22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2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27"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27" fontId="22" fillId="36" borderId="23" xfId="0" applyFont="1" applyFill="1" applyBorder="1" applyNumberFormat="1">
      <alignment horizontal="right" vertical="center" wrapText="1"/>
      <protection locked="0"/>
    </xf>
    <xf numFmtId="229"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2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2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2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27" fontId="48" fillId="0" borderId="12" xfId="0" applyFont="1" applyBorder="1" applyNumberFormat="1">
      <alignment horizontal="right" vertical="center" wrapText="1"/>
    </xf>
    <xf numFmtId="22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49" fontId="22" fillId="36" borderId="12" xfId="0" applyFont="1" applyFill="1" applyBorder="1" applyNumberFormat="1">
      <alignment horizontal="left" vertical="center" wrapText="1" indent="6"/>
      <protection locked="0"/>
    </xf>
    <xf numFmtId="4" fontId="22" fillId="36" borderId="12" xfId="0" applyFont="1" applyFill="1" applyBorder="1" applyNumberFormat="1">
      <alignment horizontal="right" vertical="center" wrapText="1"/>
      <protection locked="0"/>
    </xf>
    <xf numFmtId="227" fontId="22" fillId="36" borderId="12" xfId="0" applyFont="1" applyFill="1" applyBorder="1" applyNumberFormat="1">
      <alignment horizontal="right" vertical="center" wrapTex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12" xfId="0" applyFont="1" applyBorder="1" applyNumberFormat="1">
      <alignment horizontal="righ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4" fontId="22" fillId="0" borderId="30" xfId="0" applyFont="1" applyBorder="1" applyNumberFormat="1">
      <alignment horizontal="right"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0" fontId="48" fillId="0" borderId="0" xfId="0" applyFont="1" applyNumberFormat="1">
      <alignment horizontal="center" vertical="center"/>
    </xf>
    <xf numFmtId="49" fontId="48"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110" fillId="0" borderId="0" xfId="0" applyFont="1" applyNumberFormat="1">
      <alignment vertical="center" wrapText="1"/>
    </xf>
    <xf numFmtId="0" fontId="47" fillId="0" borderId="0" xfId="0" applyFont="1" applyNumberFormat="1">
      <alignment vertical="center"/>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22" fillId="34" borderId="12" xfId="0" applyFont="1" applyFill="1" applyBorder="1" applyNumberFormat="1">
      <alignment horizontal="left" vertical="center" wrapText="1" indent="1"/>
    </xf>
    <xf numFmtId="229" fontId="22" fillId="34" borderId="12" xfId="0" applyFont="1" applyFill="1" applyBorder="1" applyNumberFormat="1">
      <alignment horizontal="left" vertical="center" wrapText="1" indent="1"/>
    </xf>
    <xf numFmtId="0" fontId="22" fillId="0" borderId="0" xfId="0" applyFont="1" applyNumberFormat="1">
      <alignment horizontal="right" vertical="center" wrapText="1"/>
    </xf>
    <xf numFmtId="0" fontId="48" fillId="0" borderId="0" xfId="0" applyFont="1" applyNumberFormat="1">
      <alignment vertical="center" wrapText="1"/>
    </xf>
    <xf numFmtId="0" fontId="37" fillId="0" borderId="27" xfId="0" applyFont="1" applyBorder="1" applyNumberFormat="1">
      <alignment horizontal="center" vertical="center" wrapText="1"/>
    </xf>
    <xf numFmtId="0" fontId="22" fillId="0" borderId="12"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7"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pplyNumberFormat="1">
      <alignment horizontal="left" vertical="center" indent="1"/>
    </xf>
    <xf numFmtId="0" fontId="47" fillId="0" borderId="14" xfId="0" applyFont="1" applyBorder="1" applyNumberFormat="1">
      <alignment horizontal="center" vertical="center"/>
    </xf>
    <xf numFmtId="0" fontId="47" fillId="0" borderId="14" xfId="0" applyFont="1" applyBorder="1" applyNumberFormat="1">
      <alignment horizontal="center" vertical="center" wrapText="1"/>
    </xf>
    <xf numFmtId="0" fontId="47" fillId="0" borderId="12" xfId="0" applyFont="1" applyBorder="1" applyNumberFormat="1">
      <alignment horizontal="center" vertical="center" wrapText="1"/>
    </xf>
    <xf numFmtId="0" fontId="47" fillId="0" borderId="0" xfId="0" applyFont="1" applyNumberFormat="1">
      <alignment horizontal="center" vertical="center"/>
    </xf>
    <xf numFmtId="49" fontId="47" fillId="0" borderId="0" xfId="0" applyFont="1" applyNumberFormat="1">
      <alignment vertical="center" wrapText="1"/>
    </xf>
    <xf numFmtId="0" fontId="48" fillId="0" borderId="0" xfId="0" applyFont="1" applyNumberFormat="1">
      <alignment horizontal="center" vertical="center" wrapText="1"/>
    </xf>
    <xf numFmtId="0" fontId="36" fillId="0" borderId="0" xfId="0" applyFont="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xf>
    <xf numFmtId="0" fontId="22" fillId="35" borderId="12" xfId="0" applyFont="1" applyFill="1" applyBorder="1" applyNumberFormat="1">
      <alignment horizontal="left" vertical="center" wrapText="1" indent="5"/>
    </xf>
    <xf numFmtId="0" fontId="22" fillId="0" borderId="12" xfId="0" applyFont="1" applyBorder="1" applyNumberFormat="1">
      <alignment horizontal="left" vertical="center" wrapText="1" indent="6"/>
    </xf>
    <xf numFmtId="0" fontId="45" fillId="0" borderId="17" xfId="0" applyFont="1" applyBorder="1" applyNumberFormat="1">
      <alignment vertical="top" wrapText="1"/>
    </xf>
    <xf numFmtId="0" fontId="48" fillId="0" borderId="0" xfId="0" applyFont="1" applyNumberFormat="1">
      <alignment vertical="center"/>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0" fontId="48" fillId="0" borderId="24" xfId="0" applyFont="1" applyBorder="1" applyNumberFormat="1">
      <alignment horizontal="center" vertical="center"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5" fillId="0" borderId="12" xfId="0" applyFont="1" applyBorder="1" applyNumberFormat="1">
      <alignment vertical="top"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12" xfId="0" applyFont="1" applyBorder="1" applyNumberFormat="1">
      <alignment horizontal="center" vertical="center"/>
    </xf>
    <xf numFmtId="0" fontId="47" fillId="0" borderId="0" xfId="0" applyFont="1" applyNumberFormat="1">
      <alignment horizontal="left" vertical="center" wrapText="1"/>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49" fontId="0" fillId="0" borderId="0" xfId="0" applyFont="1" applyNumberFormat="1">
      <alignment vertical="top"/>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49" fontId="0" fillId="0" borderId="0" xfId="0" applyFont="1" applyNumberFormat="1">
      <alignment vertical="top"/>
    </xf>
    <xf numFmtId="0" fontId="22" fillId="35" borderId="12" xfId="0" applyFont="1" applyFill="1" applyBorder="1" applyNumberFormat="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pplyNumberFormat="1">
      <alignment vertical="center" wrapText="1"/>
    </xf>
    <xf numFmtId="0" fontId="22" fillId="0" borderId="0" xfId="0" applyFont="1" applyNumberFormat="1">
      <alignment horizontal="left" vertical="top"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2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28"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2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28"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28" fontId="22" fillId="34" borderId="13" xfId="0" applyFont="1" applyFill="1" applyBorder="1" applyNumberFormat="1">
      <alignment horizontal="right" vertical="center" wrapText="1"/>
    </xf>
    <xf numFmtId="22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28"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2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29" fontId="0" fillId="39" borderId="12" xfId="0" applyFont="1" applyFill="1" applyBorder="1" applyNumberFormat="1">
      <alignment horizontal="left" vertical="center" wrapText="1"/>
      <protection locked="0"/>
    </xf>
    <xf numFmtId="0" fontId="0"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29" fontId="0" fillId="39" borderId="13" xfId="0" applyFont="1" applyFill="1" applyBorder="1" applyNumberFormat="1">
      <alignment horizontal="left" vertical="center" wrapText="1"/>
      <protection locked="0"/>
    </xf>
    <xf numFmtId="229"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26" fontId="22" fillId="0" borderId="37" xfId="0" applyFont="1" applyBorder="1" applyNumberFormat="1">
      <alignment horizontal="center" vertical="center" wrapText="1"/>
    </xf>
    <xf numFmtId="226"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29" fontId="0" fillId="39" borderId="15" xfId="0" applyFont="1" applyFill="1" applyBorder="1" applyNumberFormat="1">
      <alignment horizontal="left" vertical="center" wrapText="1" indent="1"/>
      <protection locked="0"/>
    </xf>
    <xf numFmtId="230" fontId="22" fillId="39" borderId="12" xfId="0" applyFont="1" applyFill="1" applyBorder="1" applyNumberFormat="1">
      <alignment horizontal="left" vertical="center" wrapText="1" indent="1"/>
      <protection locked="0"/>
    </xf>
    <xf numFmtId="229" fontId="48" fillId="0" borderId="0" xfId="0" applyFont="1" applyNumberFormat="1">
      <alignment horizontal="center" vertical="center" wrapText="1"/>
    </xf>
    <xf numFmtId="226" fontId="22" fillId="0" borderId="17" xfId="0" applyFont="1" applyBorder="1" applyNumberFormat="1">
      <alignment horizontal="center" vertical="center" wrapText="1"/>
    </xf>
    <xf numFmtId="226" fontId="22" fillId="0" borderId="14" xfId="0" applyFont="1" applyBorder="1" applyNumberFormat="1">
      <alignment horizontal="center" vertical="center" wrapText="1"/>
    </xf>
    <xf numFmtId="226" fontId="22" fillId="0" borderId="15" xfId="0" applyFont="1" applyBorder="1" applyNumberFormat="1">
      <alignment horizontal="center" vertical="center" wrapText="1"/>
    </xf>
    <xf numFmtId="226"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26" fontId="22" fillId="0" borderId="23" xfId="0" applyFont="1" applyBorder="1" applyNumberFormat="1">
      <alignment horizontal="center" vertical="center" wrapText="1"/>
    </xf>
    <xf numFmtId="226"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26"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26" fontId="45" fillId="0" borderId="19" xfId="0" applyFont="1" applyBorder="1" applyNumberFormat="1">
      <alignment horizontal="center" vertical="center" wrapText="1"/>
    </xf>
    <xf numFmtId="226" fontId="45" fillId="0" borderId="19" xfId="0" applyFont="1" applyBorder="1" applyNumberFormat="1">
      <alignment horizontal="center" vertical="center" wrapText="1"/>
    </xf>
    <xf numFmtId="226" fontId="45" fillId="0" borderId="20" xfId="0" applyFont="1" applyBorder="1" applyNumberFormat="1">
      <alignment horizontal="center" vertical="center" wrapText="1"/>
    </xf>
    <xf numFmtId="0" fontId="48" fillId="0" borderId="0" xfId="0" applyFont="1" applyNumberFormat="1">
      <alignment horizontal="center" vertical="center"/>
    </xf>
    <xf numFmtId="226" fontId="22" fillId="0" borderId="12" xfId="0" applyFont="1" applyBorder="1" applyNumberFormat="1">
      <alignment horizontal="center" vertical="center" wrapText="1"/>
    </xf>
    <xf numFmtId="226" fontId="22" fillId="0" borderId="36" xfId="0" applyFont="1" applyBorder="1" applyNumberFormat="1">
      <alignment horizontal="center" vertical="center" wrapText="1"/>
    </xf>
    <xf numFmtId="226"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29" fontId="0" fillId="39" borderId="12" xfId="0" applyFont="1" applyFill="1" applyBorder="1" applyNumberFormat="1">
      <alignment horizontal="center" vertical="top" wrapText="1"/>
      <protection locked="0"/>
    </xf>
    <xf numFmtId="22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40" fillId="37" borderId="13" xfId="0" applyFont="1" applyFill="1" applyBorder="1" applyNumberFormat="1">
      <alignment horizontal="left" vertical="center"/>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2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rodnik411013586@yandex.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560E74-2A8C-EAB1-4001-8BFFED20B6F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730" width="5.421875" customWidth="1"/>
    <col min="2" max="2" style="2730" width="9.140625" customWidth="1"/>
    <col min="3" max="3" style="2730" width="16.421875" customWidth="1"/>
    <col min="4" max="25" style="2730" width="6.28125" customWidth="1"/>
    <col min="26" max="28" style="2730" width="11.00390625"/>
  </cols>
  <sheetData>
    <row customHeight="1" ht="15.75">
      <c r="A1" s="1756"/>
      <c r="B1" s="1757"/>
      <c r="C1" s="1757"/>
      <c r="D1" s="1757"/>
      <c r="E1" s="1757"/>
      <c r="F1" s="1757"/>
      <c r="G1" s="1757"/>
      <c r="H1" s="1757"/>
      <c r="I1" s="1757"/>
      <c r="J1" s="1757"/>
      <c r="K1" s="1757"/>
      <c r="L1" s="1757"/>
      <c r="M1" s="1757"/>
      <c r="N1" s="1757"/>
      <c r="O1" s="1757"/>
      <c r="P1" s="1757"/>
      <c r="Q1" s="1757"/>
      <c r="R1" s="1757"/>
      <c r="S1" s="1757"/>
      <c r="T1" s="1757"/>
      <c r="U1" s="1757"/>
      <c r="V1" s="1757"/>
      <c r="W1" s="1757"/>
      <c r="X1" s="1757"/>
      <c r="Y1" s="1758"/>
      <c r="Z1" s="1757"/>
      <c r="AA1" s="1759" t="s">
        <v>0</v>
      </c>
      <c r="AB1" s="1757"/>
    </row>
    <row customHeight="1" ht="17.25">
      <c r="A2" s="1757"/>
      <c r="B2" s="2133" t="s">
        <v>1</v>
      </c>
      <c r="C2" s="2133"/>
      <c r="D2" s="2133"/>
      <c r="E2" s="2133"/>
      <c r="F2" s="2133"/>
      <c r="G2" s="2133"/>
      <c r="H2" s="2133"/>
      <c r="I2" s="2133"/>
      <c r="J2" s="2133"/>
      <c r="K2" s="2133"/>
      <c r="L2" s="2133"/>
      <c r="M2" s="2133"/>
      <c r="N2" s="2133"/>
      <c r="O2" s="2133"/>
      <c r="P2" s="2133"/>
      <c r="Q2" s="1761"/>
      <c r="R2" s="1761"/>
      <c r="S2" s="1761"/>
      <c r="T2" s="1761"/>
      <c r="U2" s="1761"/>
      <c r="V2" s="1762"/>
      <c r="W2" s="1761"/>
      <c r="X2" s="1761"/>
      <c r="Y2" s="1758"/>
      <c r="Z2" s="1757"/>
      <c r="AA2" s="1759"/>
      <c r="AB2" s="1757"/>
    </row>
    <row customHeight="1" ht="15.75">
      <c r="A3" s="1757"/>
      <c r="B3" s="2134" t="s">
        <v>2</v>
      </c>
      <c r="C3" s="2134"/>
      <c r="D3" s="2134"/>
      <c r="E3" s="2134"/>
      <c r="F3" s="2134"/>
      <c r="G3" s="2134"/>
      <c r="H3" s="2134"/>
      <c r="I3" s="2134"/>
      <c r="J3" s="2134"/>
      <c r="K3" s="2134"/>
      <c r="L3" s="2134"/>
      <c r="M3" s="2134"/>
      <c r="N3" s="2134"/>
      <c r="O3" s="2134"/>
      <c r="P3" s="2134"/>
      <c r="Q3" s="1762"/>
      <c r="R3" s="1762"/>
      <c r="S3" s="1761"/>
      <c r="T3" s="1761"/>
      <c r="U3" s="1761"/>
      <c r="V3" s="1762"/>
      <c r="W3" s="1762"/>
      <c r="X3" s="1762"/>
      <c r="Y3" s="1762"/>
      <c r="Z3" s="1757"/>
      <c r="AA3" s="1759"/>
      <c r="AB3" s="1757"/>
    </row>
    <row customHeight="1" ht="17.25">
      <c r="A4" s="1757"/>
      <c r="B4" s="1763"/>
      <c r="C4" s="1757"/>
      <c r="D4" s="1762"/>
      <c r="E4" s="1762"/>
      <c r="F4" s="1762"/>
      <c r="G4" s="1762"/>
      <c r="H4" s="1762"/>
      <c r="I4" s="1762"/>
      <c r="J4" s="1762"/>
      <c r="K4" s="1762"/>
      <c r="L4" s="1762"/>
      <c r="M4" s="1762"/>
      <c r="N4" s="1762"/>
      <c r="O4" s="1762"/>
      <c r="P4" s="1762"/>
      <c r="Q4" s="1762"/>
      <c r="R4" s="1762"/>
      <c r="S4" s="1762"/>
      <c r="T4" s="1762"/>
      <c r="U4" s="1762"/>
      <c r="V4" s="1762"/>
      <c r="W4" s="1762"/>
      <c r="X4" s="1762"/>
      <c r="Y4" s="1762"/>
      <c r="Z4" s="1757"/>
      <c r="AA4" s="1759"/>
      <c r="AB4" s="1757"/>
    </row>
    <row customHeight="1" ht="22.5">
      <c r="A5" s="1764"/>
      <c r="B5" s="2135" t="str">
        <f>IF(TEMPLATE_SPHERE="","Информация, подлежащая раскрытию регулируемыми организациями",Титульный!E5)</f>
        <v>Показатели, подлежащие раскрытию в сфере холодного водоснабжения (цены и тарифы)</v>
      </c>
      <c r="C5" s="2136"/>
      <c r="D5" s="2136"/>
      <c r="E5" s="2136"/>
      <c r="F5" s="2136"/>
      <c r="G5" s="2136"/>
      <c r="H5" s="2136"/>
      <c r="I5" s="2136"/>
      <c r="J5" s="2136"/>
      <c r="K5" s="2136"/>
      <c r="L5" s="2136"/>
      <c r="M5" s="2136"/>
      <c r="N5" s="2136"/>
      <c r="O5" s="2136"/>
      <c r="P5" s="2136"/>
      <c r="Q5" s="2136"/>
      <c r="R5" s="2136"/>
      <c r="S5" s="2136"/>
      <c r="T5" s="2136"/>
      <c r="U5" s="2136"/>
      <c r="V5" s="2136"/>
      <c r="W5" s="2136"/>
      <c r="X5" s="2136"/>
      <c r="Y5" s="2137"/>
      <c r="Z5" s="1764"/>
      <c r="AA5" s="1759"/>
      <c r="AB5" s="1764"/>
    </row>
    <row customHeight="1" ht="15">
      <c r="A6" s="1765"/>
      <c r="B6" s="2138" t="s">
        <v>3</v>
      </c>
      <c r="C6" s="2139"/>
      <c r="D6" s="1766"/>
      <c r="E6" s="1766"/>
      <c r="F6" s="1766"/>
      <c r="G6" s="1766"/>
      <c r="H6" s="1766"/>
      <c r="I6" s="1766"/>
      <c r="J6" s="1766"/>
      <c r="K6" s="1766"/>
      <c r="L6" s="1766"/>
      <c r="M6" s="1766"/>
      <c r="N6" s="1766"/>
      <c r="O6" s="1766"/>
      <c r="P6" s="1766"/>
      <c r="Q6" s="1766"/>
      <c r="R6" s="1766"/>
      <c r="S6" s="1766"/>
      <c r="T6" s="1766"/>
      <c r="U6" s="1766"/>
      <c r="V6" s="1766"/>
      <c r="W6" s="1766"/>
      <c r="X6" s="1766"/>
      <c r="Y6" s="1767"/>
      <c r="Z6" s="1768"/>
      <c r="AA6" s="1769"/>
      <c r="AB6" s="1769"/>
    </row>
    <row customHeight="1" ht="15">
      <c r="A7" s="1765"/>
      <c r="B7" s="2138"/>
      <c r="C7" s="2139"/>
      <c r="D7" s="1766"/>
      <c r="E7" s="1766"/>
      <c r="F7" s="1770"/>
      <c r="G7" s="1770"/>
      <c r="H7" s="1770"/>
      <c r="I7" s="1770"/>
      <c r="J7" s="1770"/>
      <c r="K7" s="1770"/>
      <c r="L7" s="1770"/>
      <c r="M7" s="1770"/>
      <c r="N7" s="1770"/>
      <c r="O7" s="1766"/>
      <c r="P7" s="1770"/>
      <c r="Q7" s="1770"/>
      <c r="R7" s="1770"/>
      <c r="S7" s="1770"/>
      <c r="T7" s="1770"/>
      <c r="U7" s="1770"/>
      <c r="V7" s="1770"/>
      <c r="W7" s="1770"/>
      <c r="X7" s="1770"/>
      <c r="Y7" s="1767"/>
      <c r="Z7" s="1768"/>
      <c r="AA7" s="1769"/>
      <c r="AB7" s="1769"/>
    </row>
    <row customHeight="1" ht="15">
      <c r="A8" s="1765"/>
      <c r="B8" s="2138"/>
      <c r="C8" s="2139"/>
      <c r="D8" s="1771"/>
      <c r="E8" s="1772" t="s">
        <v>4</v>
      </c>
      <c r="F8" s="2141" t="s">
        <v>5</v>
      </c>
      <c r="G8" s="2142"/>
      <c r="H8" s="2142"/>
      <c r="I8" s="2142"/>
      <c r="J8" s="2142"/>
      <c r="K8" s="2142"/>
      <c r="L8" s="2142"/>
      <c r="M8" s="2142"/>
      <c r="N8" s="1771"/>
      <c r="O8" s="1773" t="s">
        <v>4</v>
      </c>
      <c r="P8" s="2143" t="s">
        <v>6</v>
      </c>
      <c r="Q8" s="2144"/>
      <c r="R8" s="2144"/>
      <c r="S8" s="2144"/>
      <c r="T8" s="2144"/>
      <c r="U8" s="2144"/>
      <c r="V8" s="2144"/>
      <c r="W8" s="2144"/>
      <c r="X8" s="2144"/>
      <c r="Y8" s="1767"/>
      <c r="Z8" s="1768"/>
      <c r="AA8" s="1769"/>
      <c r="AB8" s="1769"/>
    </row>
    <row customHeight="1" ht="15">
      <c r="A9" s="1765"/>
      <c r="B9" s="2138"/>
      <c r="C9" s="2139"/>
      <c r="D9" s="1771"/>
      <c r="E9" s="1774" t="s">
        <v>4</v>
      </c>
      <c r="F9" s="2141" t="s">
        <v>7</v>
      </c>
      <c r="G9" s="2142"/>
      <c r="H9" s="2142"/>
      <c r="I9" s="2142"/>
      <c r="J9" s="2142"/>
      <c r="K9" s="2142"/>
      <c r="L9" s="2142"/>
      <c r="M9" s="2142"/>
      <c r="N9" s="1771"/>
      <c r="O9" s="1775" t="s">
        <v>4</v>
      </c>
      <c r="P9" s="2143" t="s">
        <v>8</v>
      </c>
      <c r="Q9" s="2144"/>
      <c r="R9" s="2144"/>
      <c r="S9" s="2144"/>
      <c r="T9" s="2144"/>
      <c r="U9" s="2144"/>
      <c r="V9" s="2144"/>
      <c r="W9" s="2144"/>
      <c r="X9" s="2144"/>
      <c r="Y9" s="1767"/>
      <c r="Z9" s="1768"/>
      <c r="AA9" s="1769"/>
      <c r="AB9" s="1769"/>
    </row>
    <row customHeight="1" ht="30">
      <c r="A10" s="1765"/>
      <c r="B10" s="2138"/>
      <c r="C10" s="2140"/>
      <c r="D10" s="1776"/>
      <c r="E10" s="1777"/>
      <c r="F10" s="1770"/>
      <c r="G10" s="1770"/>
      <c r="H10" s="1770"/>
      <c r="I10" s="1770"/>
      <c r="J10" s="1770"/>
      <c r="K10" s="1770"/>
      <c r="L10" s="1770"/>
      <c r="M10" s="1770"/>
      <c r="N10" s="1770"/>
      <c r="O10" s="1777"/>
      <c r="P10" s="1770"/>
      <c r="Q10" s="1770"/>
      <c r="R10" s="1770"/>
      <c r="S10" s="1770"/>
      <c r="T10" s="1770"/>
      <c r="U10" s="1770"/>
      <c r="V10" s="1770"/>
      <c r="W10" s="1770"/>
      <c r="X10" s="1770"/>
      <c r="Y10" s="1767"/>
      <c r="Z10" s="1768"/>
      <c r="AA10" s="1769"/>
      <c r="AB10" s="1769"/>
    </row>
    <row customHeight="1" ht="19.5">
      <c r="A11" s="1765"/>
      <c r="B11" s="2145" t="s">
        <v>9</v>
      </c>
      <c r="C11" s="2146"/>
      <c r="D11" s="1771"/>
      <c r="E11" s="1778"/>
      <c r="F11" s="1778"/>
      <c r="G11" s="1778"/>
      <c r="H11" s="1778"/>
      <c r="I11" s="1778"/>
      <c r="J11" s="1778"/>
      <c r="K11" s="1778"/>
      <c r="L11" s="1778"/>
      <c r="M11" s="1778"/>
      <c r="N11" s="1778"/>
      <c r="O11" s="1778"/>
      <c r="P11" s="1778"/>
      <c r="Q11" s="1778"/>
      <c r="R11" s="1778"/>
      <c r="S11" s="1778"/>
      <c r="T11" s="1778"/>
      <c r="U11" s="1778"/>
      <c r="V11" s="1778"/>
      <c r="W11" s="1778"/>
      <c r="X11" s="1778"/>
      <c r="Y11" s="1767"/>
      <c r="Z11" s="1768"/>
      <c r="AA11" s="1769"/>
      <c r="AB11" s="1769"/>
    </row>
    <row customHeight="1" ht="69">
      <c r="A12" s="1765"/>
      <c r="B12" s="2138"/>
      <c r="C12" s="2140"/>
      <c r="D12" s="1779"/>
      <c r="E12" s="2142" t="s">
        <v>10</v>
      </c>
      <c r="F12" s="2142"/>
      <c r="G12" s="2142"/>
      <c r="H12" s="2142"/>
      <c r="I12" s="2142"/>
      <c r="J12" s="2142"/>
      <c r="K12" s="2142"/>
      <c r="L12" s="2142"/>
      <c r="M12" s="2142"/>
      <c r="N12" s="2142"/>
      <c r="O12" s="2142"/>
      <c r="P12" s="2142"/>
      <c r="Q12" s="2142"/>
      <c r="R12" s="2142"/>
      <c r="S12" s="2142"/>
      <c r="T12" s="2142"/>
      <c r="U12" s="2142"/>
      <c r="V12" s="2142"/>
      <c r="W12" s="2142"/>
      <c r="X12" s="2142"/>
      <c r="Y12" s="1767"/>
      <c r="Z12" s="1768"/>
      <c r="AA12" s="1769"/>
      <c r="AB12" s="1769"/>
    </row>
    <row customHeight="1" ht="15">
      <c r="A13" s="1765"/>
      <c r="B13" s="2145" t="s">
        <v>11</v>
      </c>
      <c r="C13" s="2146"/>
      <c r="D13" s="1766"/>
      <c r="E13" s="1778"/>
      <c r="F13" s="1778"/>
      <c r="G13" s="1778"/>
      <c r="H13" s="1778"/>
      <c r="I13" s="1778"/>
      <c r="J13" s="1778"/>
      <c r="K13" s="1778"/>
      <c r="L13" s="1778"/>
      <c r="M13" s="1778"/>
      <c r="N13" s="1778"/>
      <c r="O13" s="1778"/>
      <c r="P13" s="1778"/>
      <c r="Q13" s="1778"/>
      <c r="R13" s="1778"/>
      <c r="S13" s="1778"/>
      <c r="T13" s="1778"/>
      <c r="U13" s="1778"/>
      <c r="V13" s="1778"/>
      <c r="W13" s="1778"/>
      <c r="X13" s="1778"/>
      <c r="Y13" s="1767"/>
      <c r="Z13" s="1768"/>
      <c r="AA13" s="1769"/>
      <c r="AB13" s="1769"/>
    </row>
    <row customHeight="1" ht="57">
      <c r="A14" s="1765"/>
      <c r="B14" s="2138"/>
      <c r="C14" s="2139"/>
      <c r="D14" s="1771"/>
      <c r="E14" s="2149" t="s">
        <v>12</v>
      </c>
      <c r="F14" s="2149"/>
      <c r="G14" s="2149"/>
      <c r="H14" s="2149"/>
      <c r="I14" s="2149"/>
      <c r="J14" s="2149"/>
      <c r="K14" s="2149"/>
      <c r="L14" s="2149"/>
      <c r="M14" s="2149"/>
      <c r="N14" s="2149"/>
      <c r="O14" s="2149"/>
      <c r="P14" s="2149"/>
      <c r="Q14" s="2149"/>
      <c r="R14" s="2149"/>
      <c r="S14" s="2149"/>
      <c r="T14" s="2149"/>
      <c r="U14" s="2149"/>
      <c r="V14" s="2149"/>
      <c r="W14" s="2149"/>
      <c r="X14" s="2149"/>
      <c r="Y14" s="1767"/>
      <c r="Z14" s="1768"/>
      <c r="AA14" s="1769"/>
      <c r="AB14" s="1769"/>
    </row>
    <row customHeight="1" ht="16.5">
      <c r="A15" s="1765"/>
      <c r="B15" s="2147"/>
      <c r="C15" s="2148"/>
      <c r="D15" s="1780"/>
      <c r="E15" s="1781"/>
      <c r="F15" s="1781"/>
      <c r="G15" s="1781"/>
      <c r="H15" s="1781"/>
      <c r="I15" s="1781"/>
      <c r="J15" s="1781"/>
      <c r="K15" s="1781"/>
      <c r="L15" s="1781"/>
      <c r="M15" s="1781"/>
      <c r="N15" s="1781"/>
      <c r="O15" s="1781"/>
      <c r="P15" s="1781"/>
      <c r="Q15" s="1781"/>
      <c r="R15" s="1781"/>
      <c r="S15" s="1781"/>
      <c r="T15" s="1781"/>
      <c r="U15" s="1781"/>
      <c r="V15" s="1781"/>
      <c r="W15" s="1781"/>
      <c r="X15" s="1781"/>
      <c r="Y15" s="1782"/>
      <c r="Z15" s="1768"/>
      <c r="AA15" s="1783"/>
      <c r="AB15" s="1769"/>
    </row>
    <row customHeight="1" ht="95.25">
      <c r="A16" s="1757"/>
      <c r="B16" s="2149"/>
      <c r="C16" s="2150"/>
      <c r="D16" s="2150"/>
      <c r="E16" s="2150"/>
      <c r="F16" s="2150"/>
      <c r="G16" s="2150"/>
      <c r="H16" s="2150"/>
      <c r="I16" s="2150"/>
      <c r="J16" s="2150"/>
      <c r="K16" s="2150"/>
      <c r="L16" s="2150"/>
      <c r="M16" s="2150"/>
      <c r="N16" s="2150"/>
      <c r="O16" s="2150"/>
      <c r="P16" s="2150"/>
      <c r="Q16" s="2150"/>
      <c r="R16" s="2150"/>
      <c r="S16" s="2150"/>
      <c r="T16" s="2150"/>
      <c r="U16" s="2150"/>
      <c r="V16" s="2150"/>
      <c r="W16" s="2150"/>
      <c r="X16" s="2150"/>
      <c r="Y16" s="2150"/>
      <c r="Z16" s="1757"/>
      <c r="AA16" s="1759"/>
      <c r="AB16" s="1757"/>
    </row>
    <row customHeight="1" ht="14.25">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c r="W17" s="1757"/>
      <c r="X17" s="1757"/>
      <c r="Y17" s="1758"/>
      <c r="Z17" s="1757"/>
      <c r="AA17" s="1759"/>
      <c r="AB17" s="1757"/>
    </row>
    <row customHeight="1" ht="14.25">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c r="W18" s="1757"/>
      <c r="X18" s="1757"/>
      <c r="Y18" s="1758"/>
      <c r="Z18" s="1757"/>
      <c r="AA18" s="1759"/>
      <c r="AB18" s="1757"/>
    </row>
    <row customHeight="1" ht="14.25">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c r="W19" s="1757"/>
      <c r="X19" s="1757"/>
      <c r="Y19" s="1758"/>
      <c r="Z19" s="1757"/>
      <c r="AA19" s="1759"/>
      <c r="AB19" s="1757"/>
    </row>
    <row customHeight="1" ht="14.25">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c r="W20" s="1757"/>
      <c r="X20" s="1757"/>
      <c r="Y20" s="1758"/>
      <c r="Z20" s="1757"/>
      <c r="AA20" s="1759"/>
      <c r="AB20" s="1757"/>
    </row>
    <row customHeight="1" ht="14.25">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8"/>
      <c r="Z21" s="1757"/>
      <c r="AA21" s="1759"/>
      <c r="AB21" s="1757"/>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18550A-34EC-9EF1-5523-40A34BCFACFD}" mc:Ignorable="x14ac xr xr2 xr3">
  <sheetPr>
    <tabColor theme="3" tint="0.6"/>
  </sheetPr>
  <dimension ref="A1:W19"/>
  <sheetViews>
    <sheetView topLeftCell="A1" showGridLines="0" zoomScale="90" workbookViewId="0">
      <selection activeCell="A1" sqref="A1"/>
    </sheetView>
  </sheetViews>
  <sheetFormatPr defaultColWidth="10.57421875" customHeight="1" defaultRowHeight="14.25"/>
  <cols>
    <col min="1" max="1" style="2738" width="9.140625" hidden="1" customWidth="1"/>
    <col min="2" max="3" style="2774" width="9.140625" hidden="1" customWidth="1"/>
    <col min="4" max="4" style="2949" width="3.00390625" customWidth="1"/>
    <col min="5" max="5" style="2774" width="6.00390625" customWidth="1"/>
    <col min="6" max="6" style="2774" width="1.7109375" hidden="1" customWidth="1"/>
    <col min="7" max="8" style="2774" width="30.00390625" customWidth="1"/>
    <col min="9" max="9" style="2774" width="8.00390625" customWidth="1"/>
    <col min="10" max="10" style="2774" width="12.140625" customWidth="1"/>
    <col min="11" max="11" style="2774" width="46.00390625" customWidth="1"/>
    <col min="12" max="12" style="2774" width="100.00390625" customWidth="1"/>
    <col min="13" max="13" style="2866" width="7.00390625" customWidth="1"/>
    <col min="14" max="22" style="2774" width="10.00390625" customWidth="1"/>
    <col min="23" max="23" style="2774" width="10.57421875" hidden="1"/>
  </cols>
  <sheetData>
    <row s="2851" customFormat="1" customHeight="1" ht="5.25" hidden="1">
      <c r="C1" s="567"/>
      <c r="D1" s="550"/>
      <c r="F1" s="567"/>
      <c r="G1" s="545" t="s">
        <v>87</v>
      </c>
      <c r="H1" s="545" t="s">
        <v>88</v>
      </c>
      <c r="I1" s="545" t="s">
        <v>89</v>
      </c>
      <c r="P1" s="545" t="s">
        <v>87</v>
      </c>
      <c r="Q1" s="545" t="s">
        <v>88</v>
      </c>
      <c r="R1" s="545" t="s">
        <v>89</v>
      </c>
      <c r="W1" s="545" t="s">
        <v>14</v>
      </c>
    </row>
    <row s="2851" customFormat="1" customHeight="1" ht="5.25" hidden="1">
      <c r="C2" s="567"/>
      <c r="D2" s="550"/>
      <c r="F2" s="567"/>
      <c r="W2" s="545">
        <v>0</v>
      </c>
    </row>
    <row s="2749" customFormat="1" customHeight="1" ht="5.25">
      <c r="A3" s="535"/>
      <c r="D3" s="542"/>
      <c r="E3" s="537"/>
      <c r="F3" s="537"/>
      <c r="G3" s="537"/>
      <c r="H3" s="537"/>
      <c r="I3" s="538"/>
      <c r="J3" s="539"/>
      <c r="K3" s="539"/>
      <c r="L3" s="539"/>
      <c r="W3" s="536">
        <v>5</v>
      </c>
    </row>
    <row customHeight="1" ht="23.25">
      <c r="D4" s="506"/>
      <c r="E4" s="2294" t="s">
        <v>520</v>
      </c>
      <c r="F4" s="2294"/>
      <c r="G4" s="2295"/>
      <c r="H4" s="2295"/>
      <c r="I4" s="2296"/>
      <c r="J4" s="547"/>
      <c r="K4" s="509"/>
      <c r="L4" s="509"/>
      <c r="W4" s="503">
        <v>22</v>
      </c>
    </row>
    <row s="2774" customFormat="1" customHeight="1" ht="18">
      <c r="A5" s="815"/>
      <c r="D5" s="878"/>
      <c r="E5" s="2270" t="str">
        <f>IF(org=0,"Не определено",org)</f>
        <v>МУП ЖКХ "Родник"</v>
      </c>
      <c r="F5" s="2270"/>
      <c r="G5" s="2271"/>
      <c r="H5" s="2271"/>
      <c r="I5" s="2272"/>
      <c r="J5" s="547"/>
      <c r="K5" s="509"/>
      <c r="L5" s="509"/>
      <c r="M5" s="563"/>
      <c r="W5" s="814">
        <v>17</v>
      </c>
    </row>
    <row s="2749" customFormat="1" customHeight="1" ht="11.549999999999999">
      <c r="A6" s="535"/>
      <c r="D6" s="542"/>
      <c r="E6" s="537"/>
      <c r="F6" s="537"/>
      <c r="G6" s="540"/>
      <c r="H6" s="540"/>
      <c r="I6" s="541"/>
      <c r="J6" s="541"/>
      <c r="K6" s="808"/>
      <c r="L6" s="541"/>
      <c r="W6" s="536">
        <v>11</v>
      </c>
    </row>
    <row customHeight="1" ht="14.699999999999998">
      <c r="D7" s="506"/>
      <c r="E7" s="2264" t="s">
        <v>432</v>
      </c>
      <c r="F7" s="2264"/>
      <c r="G7" s="2265"/>
      <c r="H7" s="2265"/>
      <c r="I7" s="2265"/>
      <c r="J7" s="2265"/>
      <c r="K7" s="2265"/>
      <c r="L7" s="2279" t="s">
        <v>433</v>
      </c>
      <c r="W7" s="503">
        <v>14</v>
      </c>
    </row>
    <row customHeight="1" ht="48.29999999999999">
      <c r="D8" s="506"/>
      <c r="E8" s="529" t="s">
        <v>92</v>
      </c>
      <c r="F8" s="879"/>
      <c r="G8" s="521" t="s">
        <v>90</v>
      </c>
      <c r="H8" s="521" t="s">
        <v>91</v>
      </c>
      <c r="I8" s="470" t="s">
        <v>89</v>
      </c>
      <c r="J8" s="470" t="s">
        <v>521</v>
      </c>
      <c r="K8" s="470" t="s">
        <v>522</v>
      </c>
      <c r="L8" s="2279"/>
      <c r="W8" s="503">
        <v>46</v>
      </c>
    </row>
    <row customHeight="1" ht="12" hidden="1">
      <c r="D9" s="543"/>
      <c r="E9" s="549"/>
      <c r="F9" s="886"/>
      <c r="G9" s="549"/>
      <c r="H9" s="549"/>
      <c r="I9" s="549"/>
      <c r="J9" s="549"/>
      <c r="K9" s="549"/>
      <c r="L9" s="549"/>
      <c r="M9" s="503"/>
      <c r="W9" s="503">
        <v>0</v>
      </c>
    </row>
    <row customHeight="1" ht="14.25" hidden="1">
      <c r="A10" s="561"/>
      <c r="B10" s="561"/>
      <c r="D10" s="562"/>
      <c r="E10" s="568">
        <v>0</v>
      </c>
      <c r="F10" s="877"/>
      <c r="G10" s="564"/>
      <c r="H10" s="564"/>
      <c r="I10" s="564"/>
      <c r="J10" s="564"/>
      <c r="K10" s="564"/>
      <c r="L10" s="2277" t="s">
        <v>523</v>
      </c>
      <c r="M10" s="563"/>
      <c r="N10" s="561"/>
      <c r="O10" s="561"/>
      <c r="P10" s="561"/>
      <c r="Q10" s="561"/>
      <c r="R10" s="561"/>
      <c r="S10" s="561"/>
      <c r="T10" s="561"/>
      <c r="U10" s="561"/>
      <c r="V10" s="561"/>
      <c r="W10" s="503">
        <v>0</v>
      </c>
    </row>
    <row customHeight="1" ht="15" hidden="1">
      <c r="A11" s="2155"/>
      <c r="B11" s="560"/>
      <c r="C11" s="560"/>
      <c r="D11" s="921"/>
      <c r="E11" s="569"/>
      <c r="F11" s="569"/>
      <c r="G11" s="569"/>
      <c r="H11" s="569"/>
      <c r="I11" s="570"/>
      <c r="J11" s="571"/>
      <c r="K11" s="769"/>
      <c r="L11" s="2297"/>
      <c r="M11" s="567"/>
      <c r="N11" s="567"/>
      <c r="O11" s="567"/>
      <c r="P11" s="572"/>
      <c r="Q11" s="572"/>
      <c r="R11" s="573"/>
      <c r="S11" s="567"/>
      <c r="T11" s="567"/>
      <c r="U11" s="567"/>
      <c r="V11" s="567"/>
      <c r="W11" s="503">
        <v>0</v>
      </c>
    </row>
    <row s="2749" customFormat="1" customHeight="1" ht="15">
      <c r="A12" s="2155"/>
      <c r="B12" s="560"/>
      <c r="C12" s="560"/>
      <c r="D12" s="922"/>
      <c r="E12" s="879">
        <v>1</v>
      </c>
      <c r="F12" s="920">
        <v>23</v>
      </c>
      <c r="G12" s="919"/>
      <c r="H12" s="849"/>
      <c r="I12" s="847"/>
      <c r="J12" s="576" t="s">
        <v>65</v>
      </c>
      <c r="K12" s="1220" t="s">
        <v>28</v>
      </c>
      <c r="L12" s="2297"/>
      <c r="M12" s="567"/>
      <c r="N12" s="567"/>
      <c r="O12" s="567"/>
      <c r="P12" s="572" t="s">
        <v>524</v>
      </c>
      <c r="Q12" s="572" t="s">
        <v>525</v>
      </c>
      <c r="R12" s="573" t="s">
        <v>526</v>
      </c>
      <c r="S12" s="567" t="s">
        <v>527</v>
      </c>
      <c r="T12" s="567"/>
      <c r="U12" s="567"/>
      <c r="V12" s="567"/>
      <c r="W12" s="536">
        <v>14</v>
      </c>
    </row>
    <row customHeight="1" ht="15.75">
      <c r="A13" s="2155"/>
      <c r="B13" s="561"/>
      <c r="D13" s="562"/>
      <c r="E13" s="461"/>
      <c r="F13" s="585"/>
      <c r="G13" s="472" t="s">
        <v>107</v>
      </c>
      <c r="H13" s="460"/>
      <c r="I13" s="460"/>
      <c r="J13" s="460"/>
      <c r="K13" s="459"/>
      <c r="L13" s="2278"/>
      <c r="M13" s="565"/>
      <c r="N13" s="561"/>
      <c r="O13" s="561"/>
      <c r="P13" s="561"/>
      <c r="Q13" s="561"/>
      <c r="R13" s="561"/>
      <c r="S13" s="561"/>
      <c r="T13" s="561"/>
      <c r="U13" s="561"/>
      <c r="V13" s="561"/>
      <c r="W13" s="503">
        <v>15</v>
      </c>
    </row>
    <row customHeight="1" ht="11.549999999999999">
      <c r="A14" s="535"/>
      <c r="B14" s="536"/>
      <c r="C14" s="536"/>
      <c r="D14" s="551"/>
      <c r="E14" s="536"/>
      <c r="F14" s="536"/>
      <c r="G14" s="536"/>
      <c r="H14" s="536"/>
      <c r="I14" s="536"/>
      <c r="J14" s="536"/>
      <c r="K14" s="536"/>
      <c r="L14" s="536"/>
      <c r="M14" s="536"/>
      <c r="N14" s="536"/>
      <c r="O14" s="536"/>
      <c r="P14" s="536"/>
      <c r="Q14" s="536"/>
      <c r="R14" s="536"/>
      <c r="S14" s="536"/>
      <c r="T14" s="536"/>
      <c r="U14" s="536"/>
      <c r="V14" s="536"/>
      <c r="W14" s="503">
        <v>11</v>
      </c>
    </row>
    <row customHeight="1" ht="14.699999999999998">
      <c r="D15" s="522"/>
      <c r="E15" s="392"/>
      <c r="F15" s="392"/>
      <c r="G15" s="72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522"/>
      <c r="I15" s="522"/>
      <c r="J15" s="522"/>
      <c r="K15" s="522"/>
      <c r="L15" s="522"/>
      <c r="W15" s="503">
        <v>14</v>
      </c>
    </row>
    <row customHeight="1" ht="14.699999999999998">
      <c r="W16" s="503">
        <v>14</v>
      </c>
    </row>
    <row customHeight="1" ht="14.699999999999998">
      <c r="W17" s="503">
        <v>14</v>
      </c>
    </row>
    <row customHeight="1" ht="14.699999999999998">
      <c r="G18" s="561"/>
      <c r="W18" s="503">
        <v>14</v>
      </c>
    </row>
    <row customHeight="1" ht="22.5" hidden="1">
      <c r="A19" s="505" t="s">
        <v>86</v>
      </c>
      <c r="B19" s="503">
        <v>0</v>
      </c>
      <c r="C19" s="814">
        <v>0</v>
      </c>
      <c r="D19" s="507">
        <v>3</v>
      </c>
      <c r="E19" s="503">
        <v>6</v>
      </c>
      <c r="F19" s="814">
        <v>0</v>
      </c>
      <c r="G19" s="503">
        <v>30</v>
      </c>
      <c r="H19" s="503">
        <v>30</v>
      </c>
      <c r="I19" s="503">
        <v>8</v>
      </c>
      <c r="J19" s="503">
        <v>12</v>
      </c>
      <c r="K19" s="503">
        <v>46</v>
      </c>
      <c r="L19" s="503">
        <v>100</v>
      </c>
      <c r="M19" s="508">
        <v>7</v>
      </c>
      <c r="N19" s="503">
        <v>10</v>
      </c>
      <c r="O19" s="503">
        <v>10</v>
      </c>
      <c r="P19" s="503">
        <v>10</v>
      </c>
      <c r="Q19" s="503">
        <v>10</v>
      </c>
      <c r="R19" s="503">
        <v>10</v>
      </c>
      <c r="S19" s="503">
        <v>10</v>
      </c>
      <c r="T19" s="503">
        <v>10</v>
      </c>
      <c r="U19" s="503">
        <v>10</v>
      </c>
      <c r="V19" s="503">
        <v>10</v>
      </c>
      <c r="W19" s="503">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1308D5-B141-8DCA-9713-0EEE85605E04}"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65">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60"/>
      <c r="Q3" s="408"/>
      <c r="R3" s="409"/>
      <c r="S3" s="1365">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1365">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409"/>
      <c r="S5" s="1365">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556"/>
      <c r="AP5" s="556" t="str">
        <f>IF(T5="","",T5)</f>
        <v>Источник тепловой энергии  </v>
      </c>
      <c r="AQ5" s="556"/>
      <c r="AR5" s="556"/>
      <c r="AS5" s="1211">
        <v>0</v>
      </c>
    </row>
    <row customHeight="1" ht="47.25" hidden="1">
      <c r="A6" s="1419"/>
      <c r="B6" s="1419"/>
      <c r="C6" s="1419"/>
      <c r="D6" s="1419"/>
      <c r="E6" s="2315"/>
      <c r="F6" s="2315"/>
      <c r="G6" s="2315"/>
      <c r="H6" s="2315"/>
      <c r="I6" s="2312">
        <f>S5&amp;".1"</f>
      </c>
      <c r="J6" s="1419"/>
      <c r="K6" s="1419"/>
      <c r="L6" s="1420" t="s">
        <v>535</v>
      </c>
      <c r="M6" s="593"/>
      <c r="P6" s="2313">
        <v>1</v>
      </c>
      <c r="Q6" s="1361"/>
      <c r="R6" s="412"/>
      <c r="S6" s="1365">
        <f>$I6</f>
      </c>
      <c r="T6" s="341" t="s">
        <v>536</v>
      </c>
      <c r="U6" s="356"/>
      <c r="V6" s="2301"/>
      <c r="W6" s="2302"/>
      <c r="X6" s="2302"/>
      <c r="Y6" s="2302"/>
      <c r="Z6" s="2302"/>
      <c r="AA6" s="2302"/>
      <c r="AB6" s="2302"/>
      <c r="AC6" s="2303"/>
      <c r="AD6" s="2301"/>
      <c r="AE6" s="2302"/>
      <c r="AF6" s="2302"/>
      <c r="AG6" s="2302"/>
      <c r="AH6" s="2302"/>
      <c r="AI6" s="2302"/>
      <c r="AJ6" s="2302"/>
      <c r="AK6" s="2302"/>
      <c r="AL6" s="2303"/>
      <c r="AM6" s="1314" t="s">
        <v>537</v>
      </c>
      <c r="AO6" s="556"/>
      <c r="AP6" s="556" t="str">
        <f>IF(T6="","",T6)</f>
        <v>Схема подключения теплопотребляющей установки к коллектору источника тепловой энергии</v>
      </c>
      <c r="AQ6" s="556"/>
      <c r="AR6" s="556"/>
      <c r="AS6" s="1211">
        <v>0</v>
      </c>
    </row>
    <row customHeight="1" ht="21" hidden="1">
      <c r="A7" s="1419"/>
      <c r="B7" s="1419"/>
      <c r="C7" s="1419"/>
      <c r="D7" s="1419"/>
      <c r="E7" s="2315"/>
      <c r="F7" s="2315"/>
      <c r="G7" s="2315"/>
      <c r="H7" s="2315"/>
      <c r="I7" s="2342"/>
      <c r="J7" s="2312">
        <f>I6&amp;".1"</f>
      </c>
      <c r="K7" s="1419"/>
      <c r="L7" s="1420" t="s">
        <v>538</v>
      </c>
      <c r="M7" s="593"/>
      <c r="N7" s="1422"/>
      <c r="P7" s="2313"/>
      <c r="Q7" s="2313">
        <v>1</v>
      </c>
      <c r="R7" s="413"/>
      <c r="S7" s="1365">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556"/>
      <c r="AP7" s="556" t="str">
        <f>IF(T7="","",T7)</f>
        <v>Группа потребителей</v>
      </c>
      <c r="AQ7" s="556"/>
      <c r="AR7" s="556"/>
      <c r="AS7" s="1211">
        <v>0</v>
      </c>
    </row>
    <row customHeight="1" ht="21" hidden="1">
      <c r="A8" s="1419"/>
      <c r="B8" s="1419"/>
      <c r="C8" s="1419"/>
      <c r="D8" s="1419"/>
      <c r="E8" s="2315"/>
      <c r="F8" s="2315"/>
      <c r="G8" s="2315"/>
      <c r="H8" s="2315"/>
      <c r="I8" s="2342"/>
      <c r="J8" s="2342"/>
      <c r="K8" s="2312">
        <f>J7&amp;".1"</f>
      </c>
      <c r="L8" s="1420" t="s">
        <v>541</v>
      </c>
      <c r="M8" s="593"/>
      <c r="N8" s="1422"/>
      <c r="O8" s="1422"/>
      <c r="P8" s="2313"/>
      <c r="Q8" s="2313"/>
      <c r="R8" s="413">
        <v>1</v>
      </c>
      <c r="S8" s="1365">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567">
        <f>STRCHECKDATE(V9:AL9)</f>
      </c>
      <c r="AO8" s="556"/>
      <c r="AP8" s="556" t="str">
        <f>IF(T8="","",T8)</f>
        <v/>
      </c>
      <c r="AQ8" s="556"/>
      <c r="AR8" s="556"/>
      <c r="AS8" s="1211">
        <v>0</v>
      </c>
    </row>
    <row customHeight="1" ht="0.75" hidden="1">
      <c r="A9" s="1419"/>
      <c r="B9" s="1419"/>
      <c r="C9" s="1419"/>
      <c r="D9" s="1419"/>
      <c r="E9" s="2315"/>
      <c r="F9" s="2315"/>
      <c r="G9" s="2315"/>
      <c r="H9" s="2315"/>
      <c r="I9" s="2342"/>
      <c r="J9" s="2342"/>
      <c r="K9" s="2312"/>
      <c r="L9" s="1420"/>
      <c r="M9" s="593"/>
      <c r="N9" s="1422"/>
      <c r="O9" s="1422"/>
      <c r="P9" s="2313"/>
      <c r="Q9" s="2313"/>
      <c r="R9" s="413"/>
      <c r="S9" s="1362"/>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5" hidden="1">
      <c r="A10" s="1419"/>
      <c r="B10" s="1419"/>
      <c r="C10" s="1419"/>
      <c r="D10" s="1419"/>
      <c r="E10" s="2315"/>
      <c r="F10" s="2315"/>
      <c r="G10" s="2315"/>
      <c r="H10" s="2315"/>
      <c r="I10" s="2342"/>
      <c r="J10" s="2312"/>
      <c r="K10" s="1419"/>
      <c r="L10" s="1420"/>
      <c r="M10" s="593"/>
      <c r="N10" s="1422"/>
      <c r="P10" s="2313"/>
      <c r="Q10" s="2313"/>
      <c r="R10" s="412"/>
      <c r="S10" s="1334"/>
      <c r="T10" s="344"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5" hidden="1">
      <c r="A11" s="1419"/>
      <c r="B11" s="1419"/>
      <c r="C11" s="1419"/>
      <c r="D11" s="1419"/>
      <c r="E11" s="2315"/>
      <c r="F11" s="2315"/>
      <c r="G11" s="2315"/>
      <c r="H11" s="2315"/>
      <c r="I11" s="2312"/>
      <c r="J11" s="1419"/>
      <c r="K11" s="1419"/>
      <c r="L11" s="1420"/>
      <c r="M11" s="593"/>
      <c r="P11" s="2313"/>
      <c r="Q11" s="1361"/>
      <c r="R11" s="412"/>
      <c r="S11" s="1334"/>
      <c r="T11" s="343"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14.25" hidden="1">
      <c r="A12" s="1419"/>
      <c r="B12" s="1419"/>
      <c r="C12" s="1419"/>
      <c r="D12" s="1419"/>
      <c r="E12" s="2315"/>
      <c r="F12" s="2315"/>
      <c r="G12" s="2315"/>
      <c r="H12" s="2314"/>
      <c r="I12" s="1419"/>
      <c r="J12" s="1419"/>
      <c r="K12" s="1419"/>
      <c r="L12" s="1420"/>
      <c r="M12" s="1421"/>
      <c r="N12" s="1421"/>
      <c r="O12" s="593"/>
      <c r="P12" s="416"/>
      <c r="Q12" s="431"/>
      <c r="R12" s="411"/>
      <c r="S12" s="1334"/>
      <c r="T12" s="421" t="s">
        <v>545</v>
      </c>
      <c r="U12" s="423"/>
      <c r="V12" s="423"/>
      <c r="W12" s="423"/>
      <c r="X12" s="423"/>
      <c r="Y12" s="423"/>
      <c r="Z12" s="423"/>
      <c r="AA12" s="423"/>
      <c r="AB12" s="423"/>
      <c r="AC12" s="422"/>
      <c r="AD12" s="423"/>
      <c r="AE12" s="423"/>
      <c r="AF12" s="423"/>
      <c r="AG12" s="423"/>
      <c r="AH12" s="423"/>
      <c r="AI12" s="423"/>
      <c r="AJ12" s="423"/>
      <c r="AK12" s="422"/>
      <c r="AL12" s="423"/>
      <c r="AM12" s="359"/>
      <c r="AO12" s="556"/>
      <c r="AP12" s="556" t="str">
        <f>IF(T12="","",T12)</f>
        <v>Добавить схему подключения</v>
      </c>
      <c r="AQ12" s="556"/>
      <c r="AR12" s="556"/>
      <c r="AS12" s="1211">
        <v>0</v>
      </c>
    </row>
    <row s="2851" customFormat="1" customHeight="1" ht="0.7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0.7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0.7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P17" s="1367"/>
      <c r="AD17" s="1416"/>
      <c r="AE17" s="1416"/>
      <c r="AF17" s="1416"/>
      <c r="AG17" s="1417"/>
      <c r="AH17" s="2323"/>
      <c r="AI17" s="2324" t="s">
        <v>65</v>
      </c>
      <c r="AJ17" s="2323"/>
      <c r="AK17" s="2324" t="s">
        <v>65</v>
      </c>
      <c r="AS17" s="1211">
        <v>0</v>
      </c>
    </row>
    <row customHeight="1" ht="14.25" hidden="1">
      <c r="P18" s="1367"/>
      <c r="AD18" s="1416"/>
      <c r="AE18" s="1416"/>
      <c r="AF18" s="1416"/>
      <c r="AG18" s="384" t="str">
        <f>AH17&amp;"-"&amp;AJ17</f>
        <v>-</v>
      </c>
      <c r="AH18" s="2324"/>
      <c r="AI18" s="2324"/>
      <c r="AJ18" s="2324"/>
      <c r="AK18" s="2324"/>
      <c r="AS18" s="1211">
        <v>0</v>
      </c>
    </row>
    <row customHeight="1" ht="14.25" hidden="1">
      <c r="P19" s="1367"/>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14.2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P23" s="1367"/>
      <c r="AS23" s="1211">
        <v>0</v>
      </c>
    </row>
    <row customHeight="1" ht="14.25" hidden="1">
      <c r="O24" s="1420"/>
      <c r="P24" s="1367"/>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14.699999999999998">
      <c r="Q26" s="432"/>
      <c r="R26" s="432"/>
      <c r="S26" s="23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4"/>
      <c r="U26" s="2304"/>
      <c r="V26" s="2304"/>
      <c r="W26" s="2304"/>
      <c r="X26" s="2304"/>
      <c r="Y26" s="2304"/>
      <c r="Z26" s="2304"/>
      <c r="AA26" s="2304"/>
      <c r="AB26" s="2304"/>
      <c r="AC26" s="2304"/>
      <c r="AD26" s="2304"/>
      <c r="AE26" s="2304"/>
      <c r="AF26" s="2304"/>
      <c r="AG26" s="2304"/>
      <c r="AH26" s="2304"/>
      <c r="AI26" s="2304"/>
      <c r="AJ26" s="2304"/>
      <c r="AK26" s="1299"/>
      <c r="AS26" s="1211">
        <v>14</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P33" s="1384"/>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18.7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275"/>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211">
        <v>14</v>
      </c>
    </row>
    <row customHeight="1" ht="35.699999999999996">
      <c r="Q40" s="432"/>
      <c r="R40" s="432"/>
      <c r="S40" s="2329"/>
      <c r="T40" s="2265"/>
      <c r="U40" s="1087"/>
      <c r="V40" s="2316" t="s">
        <v>563</v>
      </c>
      <c r="W40" s="2666" t="s">
        <v>564</v>
      </c>
      <c r="X40" s="2318" t="s">
        <v>565</v>
      </c>
      <c r="Y40" s="2319"/>
      <c r="Z40" s="2318" t="s">
        <v>566</v>
      </c>
      <c r="AA40" s="2325"/>
      <c r="AB40" s="2319"/>
      <c r="AC40" s="2334"/>
      <c r="AD40" s="2316" t="s">
        <v>563</v>
      </c>
      <c r="AE40" s="2339" t="s">
        <v>564</v>
      </c>
      <c r="AF40" s="2318" t="s">
        <v>565</v>
      </c>
      <c r="AG40" s="2319"/>
      <c r="AH40" s="2318" t="s">
        <v>566</v>
      </c>
      <c r="AI40" s="2325"/>
      <c r="AJ40" s="2319"/>
      <c r="AK40" s="2334"/>
      <c r="AL40" s="2337"/>
      <c r="AM40" s="2183"/>
      <c r="AS40" s="1211">
        <v>34</v>
      </c>
    </row>
    <row customHeight="1" ht="35.699999999999996">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Q41" s="432"/>
      <c r="R41" s="432"/>
      <c r="S41" s="2329"/>
      <c r="T41" s="2265"/>
      <c r="U41" s="358"/>
      <c r="V41" s="2317"/>
      <c r="W41" s="2340"/>
      <c r="X41" s="1278" t="s">
        <v>574</v>
      </c>
      <c r="Y41" s="1278" t="s">
        <v>575</v>
      </c>
      <c r="Z41" s="1277" t="s">
        <v>576</v>
      </c>
      <c r="AA41" s="2326" t="s">
        <v>577</v>
      </c>
      <c r="AB41" s="2327"/>
      <c r="AC41" s="2335"/>
      <c r="AD41" s="2317"/>
      <c r="AE41" s="2340"/>
      <c r="AF41" s="1278" t="s">
        <v>574</v>
      </c>
      <c r="AG41" s="1278" t="s">
        <v>575</v>
      </c>
      <c r="AH41" s="1369" t="s">
        <v>576</v>
      </c>
      <c r="AI41" s="2326" t="s">
        <v>577</v>
      </c>
      <c r="AJ41" s="2327"/>
      <c r="AK41" s="2335"/>
      <c r="AL41" s="2338"/>
      <c r="AM41" s="2183"/>
      <c r="AS41" s="1211">
        <v>34</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12">
        <f>OFFSET(V42,0,-1)+1</f>
        <v>3</v>
      </c>
      <c r="W42" s="1312"/>
      <c r="X42" s="1312">
        <f>OFFSET(X42,0,-1)+1</f>
        <v>1</v>
      </c>
      <c r="Y42" s="1312">
        <f>OFFSET(Y42,0,-1)+1</f>
        <v>2</v>
      </c>
      <c r="Z42" s="1312">
        <f>OFFSET(Z42,0,-1)+1</f>
        <v>3</v>
      </c>
      <c r="AA42" s="2328">
        <f>OFFSET(AA42,0,-1)+1</f>
        <v>4</v>
      </c>
      <c r="AB42" s="2328"/>
      <c r="AC42" s="1312">
        <f>OFFSET(AC42,0,-2)+1</f>
        <v>5</v>
      </c>
      <c r="AD42" s="1368">
        <f>OFFSET(AD42,0,-1)+1</f>
        <v>6</v>
      </c>
      <c r="AE42" s="1368"/>
      <c r="AF42" s="1368">
        <f>OFFSET(AF42,0,-1)+1</f>
        <v>1</v>
      </c>
      <c r="AG42" s="1368">
        <f>OFFSET(AG42,0,-1)+1</f>
        <v>2</v>
      </c>
      <c r="AH42" s="1368">
        <f>OFFSET(AH42,0,-1)+1</f>
        <v>3</v>
      </c>
      <c r="AI42" s="2328">
        <f>OFFSET(AI42,0,-1)+1</f>
        <v>4</v>
      </c>
      <c r="AJ42" s="2328"/>
      <c r="AK42" s="1368">
        <f>OFFSET(AK42,0,-2)+1</f>
        <v>5</v>
      </c>
      <c r="AL42" s="1301">
        <f>OFFSET(AL42,0,-1)</f>
        <v>5</v>
      </c>
      <c r="AM42" s="1312">
        <f>OFFSET(AM42,0,-1)+1</f>
        <v>6</v>
      </c>
      <c r="AN42" s="567"/>
      <c r="AO42" s="567"/>
      <c r="AP42" s="567"/>
      <c r="AQ42" s="567"/>
      <c r="AR42" s="567"/>
      <c r="AS42" s="552">
        <v>0</v>
      </c>
    </row>
    <row customHeight="1" ht="24">
      <c r="A43" s="1419" t="s">
        <v>229</v>
      </c>
      <c r="B43" s="1419"/>
      <c r="C43" s="1419"/>
      <c r="D43" s="1419"/>
      <c r="E43" s="2314">
        <v>1</v>
      </c>
      <c r="F43" s="1419"/>
      <c r="G43" s="1419"/>
      <c r="H43" s="1419"/>
      <c r="I43" s="1419"/>
      <c r="J43" s="1419"/>
      <c r="K43" s="1419"/>
      <c r="L43" s="1420"/>
      <c r="M43" s="1421"/>
      <c r="N43" s="1421"/>
      <c r="O43" s="1421"/>
      <c r="P43" s="417"/>
      <c r="Q43" s="416"/>
      <c r="R43" s="411"/>
      <c r="S43" s="1280">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23</v>
      </c>
    </row>
    <row customHeight="1" ht="24">
      <c r="A44" s="1419" t="s">
        <v>229</v>
      </c>
      <c r="B44" s="1419" t="s">
        <v>230</v>
      </c>
      <c r="C44" s="1419"/>
      <c r="D44" s="1419"/>
      <c r="E44" s="2315"/>
      <c r="F44" s="2314">
        <v>1</v>
      </c>
      <c r="G44" s="1419"/>
      <c r="H44" s="1419"/>
      <c r="I44" s="1419"/>
      <c r="J44" s="1419"/>
      <c r="K44" s="1419"/>
      <c r="L44" s="1420"/>
      <c r="M44" s="1421"/>
      <c r="N44" s="1421"/>
      <c r="O44" s="1421"/>
      <c r="P44" s="578"/>
      <c r="Q44" s="408"/>
      <c r="R44" s="409"/>
      <c r="S44" s="1280"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23</v>
      </c>
    </row>
    <row customHeight="1" ht="24">
      <c r="A45" s="1419" t="s">
        <v>229</v>
      </c>
      <c r="B45" s="1419" t="s">
        <v>230</v>
      </c>
      <c r="C45" s="1419" t="s">
        <v>231</v>
      </c>
      <c r="D45" s="1419"/>
      <c r="E45" s="2315"/>
      <c r="F45" s="2315"/>
      <c r="G45" s="2314">
        <v>1</v>
      </c>
      <c r="H45" s="1419"/>
      <c r="I45" s="1419"/>
      <c r="J45" s="1419"/>
      <c r="K45" s="1419"/>
      <c r="L45" s="1420"/>
      <c r="M45" s="1421"/>
      <c r="N45" s="1421"/>
      <c r="O45" s="1421"/>
      <c r="P45" s="410"/>
      <c r="Q45" s="408"/>
      <c r="R45" s="409"/>
      <c r="S45" s="1280"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4">
      <c r="A46" s="1419" t="s">
        <v>229</v>
      </c>
      <c r="B46" s="1419" t="s">
        <v>230</v>
      </c>
      <c r="C46" s="1419" t="s">
        <v>231</v>
      </c>
      <c r="D46" s="1419" t="s">
        <v>232</v>
      </c>
      <c r="E46" s="2315"/>
      <c r="F46" s="2315"/>
      <c r="G46" s="2315"/>
      <c r="H46" s="2314">
        <v>1</v>
      </c>
      <c r="I46" s="1419"/>
      <c r="J46" s="1419"/>
      <c r="K46" s="1419"/>
      <c r="L46" s="1420"/>
      <c r="M46" s="1421"/>
      <c r="N46" s="1421"/>
      <c r="O46" s="1421"/>
      <c r="P46" s="410"/>
      <c r="Q46" s="408"/>
      <c r="R46" s="409"/>
      <c r="S46" s="1280"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23</v>
      </c>
    </row>
    <row customHeight="1" ht="49.5">
      <c r="A47" s="1419" t="s">
        <v>229</v>
      </c>
      <c r="B47" s="1419" t="s">
        <v>230</v>
      </c>
      <c r="C47" s="1419" t="s">
        <v>231</v>
      </c>
      <c r="D47" s="1419" t="s">
        <v>232</v>
      </c>
      <c r="E47" s="2315"/>
      <c r="F47" s="2315"/>
      <c r="G47" s="2315"/>
      <c r="H47" s="2315"/>
      <c r="I47" s="2312" t="str">
        <f>S46&amp;".1"</f>
        <v>....1</v>
      </c>
      <c r="J47" s="1419"/>
      <c r="K47" s="1419"/>
      <c r="L47" s="1420" t="s">
        <v>535</v>
      </c>
      <c r="P47" s="2313">
        <v>1</v>
      </c>
      <c r="Q47" s="1276"/>
      <c r="R47" s="412"/>
      <c r="S47" s="1280" t="str">
        <f>$I47</f>
        <v>....1</v>
      </c>
      <c r="T47" s="341" t="s">
        <v>536</v>
      </c>
      <c r="U47" s="356"/>
      <c r="V47" s="2301"/>
      <c r="W47" s="2302"/>
      <c r="X47" s="2302"/>
      <c r="Y47" s="2302"/>
      <c r="Z47" s="2302"/>
      <c r="AA47" s="2302"/>
      <c r="AB47" s="2302"/>
      <c r="AC47" s="2303"/>
      <c r="AD47" s="2301"/>
      <c r="AE47" s="2302"/>
      <c r="AF47" s="2302"/>
      <c r="AG47" s="2302"/>
      <c r="AH47" s="2302"/>
      <c r="AI47" s="2302"/>
      <c r="AJ47" s="2302"/>
      <c r="AK47" s="2302"/>
      <c r="AL47" s="2303"/>
      <c r="AM47" s="1314" t="s">
        <v>537</v>
      </c>
      <c r="AO47" s="556"/>
      <c r="AP47" s="556" t="str">
        <f>IF(T47="","",T47)</f>
        <v>Схема подключения теплопотребляющей установки к коллектору источника тепловой энергии</v>
      </c>
      <c r="AQ47" s="556"/>
      <c r="AR47" s="556"/>
      <c r="AS47" s="1211">
        <v>47</v>
      </c>
    </row>
    <row customHeight="1" ht="24">
      <c r="A48" s="1419" t="s">
        <v>229</v>
      </c>
      <c r="B48" s="1419" t="s">
        <v>230</v>
      </c>
      <c r="C48" s="1419" t="s">
        <v>231</v>
      </c>
      <c r="D48" s="1419" t="s">
        <v>232</v>
      </c>
      <c r="E48" s="2315"/>
      <c r="F48" s="2315"/>
      <c r="G48" s="2315"/>
      <c r="H48" s="2315"/>
      <c r="I48" s="2342"/>
      <c r="J48" s="2312" t="str">
        <f>I47&amp;".1"</f>
        <v>....1.1</v>
      </c>
      <c r="K48" s="1419"/>
      <c r="L48" s="1420" t="s">
        <v>538</v>
      </c>
      <c r="P48" s="2313"/>
      <c r="Q48" s="2313">
        <v>1</v>
      </c>
      <c r="R48" s="413"/>
      <c r="S48" s="1280" t="str">
        <f>$J48</f>
        <v>....1.1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23</v>
      </c>
    </row>
    <row customHeight="1" ht="24">
      <c r="A49" s="1419" t="s">
        <v>229</v>
      </c>
      <c r="B49" s="1419" t="s">
        <v>230</v>
      </c>
      <c r="C49" s="1419" t="s">
        <v>231</v>
      </c>
      <c r="D49" s="1419" t="s">
        <v>232</v>
      </c>
      <c r="E49" s="2315"/>
      <c r="F49" s="2315"/>
      <c r="G49" s="2315"/>
      <c r="H49" s="2315"/>
      <c r="I49" s="2342"/>
      <c r="J49" s="2342"/>
      <c r="K49" s="2312" t="str">
        <f>J48&amp;".1"</f>
        <v>....1.1.1</v>
      </c>
      <c r="L49" s="1420" t="s">
        <v>541</v>
      </c>
      <c r="P49" s="2313"/>
      <c r="Q49" s="2313"/>
      <c r="R49" s="413">
        <v>1</v>
      </c>
      <c r="S49" s="1280" t="str">
        <f>$K49</f>
        <v>....1.1.1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542</v>
      </c>
      <c r="AN49" s="567">
        <f>STRCHECKDATE(V50:AL50)</f>
      </c>
      <c r="AO49" s="556"/>
      <c r="AP49" s="556" t="str">
        <f>IF(T49="","",T49)</f>
        <v/>
      </c>
      <c r="AQ49" s="556"/>
      <c r="AR49" s="556"/>
      <c r="AS49" s="1211">
        <v>23</v>
      </c>
    </row>
    <row customHeight="1" ht="1.05">
      <c r="A50" s="1419" t="s">
        <v>229</v>
      </c>
      <c r="B50" s="1419" t="s">
        <v>230</v>
      </c>
      <c r="C50" s="1419" t="s">
        <v>231</v>
      </c>
      <c r="D50" s="1419" t="s">
        <v>232</v>
      </c>
      <c r="E50" s="2315"/>
      <c r="F50" s="2315"/>
      <c r="G50" s="2315"/>
      <c r="H50" s="2315"/>
      <c r="I50" s="2342"/>
      <c r="J50" s="2342"/>
      <c r="K50" s="2312"/>
      <c r="L50" s="1420"/>
      <c r="P50" s="2313"/>
      <c r="Q50" s="2313"/>
      <c r="R50" s="413"/>
      <c r="S50" s="1279"/>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1</v>
      </c>
    </row>
    <row customHeight="1" ht="11.549999999999999">
      <c r="A51" s="1419" t="s">
        <v>229</v>
      </c>
      <c r="B51" s="1419" t="s">
        <v>230</v>
      </c>
      <c r="C51" s="1419" t="s">
        <v>231</v>
      </c>
      <c r="D51" s="1419" t="s">
        <v>232</v>
      </c>
      <c r="E51" s="2315"/>
      <c r="F51" s="2315"/>
      <c r="G51" s="2315"/>
      <c r="H51" s="2315"/>
      <c r="I51" s="2342"/>
      <c r="J51" s="2312"/>
      <c r="K51" s="1419"/>
      <c r="L51" s="1420"/>
      <c r="P51" s="2313"/>
      <c r="Q51" s="2313"/>
      <c r="R51" s="412"/>
      <c r="S51" s="1334"/>
      <c r="T51" s="344"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229</v>
      </c>
      <c r="B52" s="1419" t="s">
        <v>230</v>
      </c>
      <c r="C52" s="1419" t="s">
        <v>231</v>
      </c>
      <c r="D52" s="1419" t="s">
        <v>232</v>
      </c>
      <c r="E52" s="2315"/>
      <c r="F52" s="2315"/>
      <c r="G52" s="2315"/>
      <c r="H52" s="2315"/>
      <c r="I52" s="2312"/>
      <c r="J52" s="1419"/>
      <c r="K52" s="1419"/>
      <c r="L52" s="1420"/>
      <c r="P52" s="2313"/>
      <c r="Q52" s="1276"/>
      <c r="R52" s="412"/>
      <c r="S52" s="1334"/>
      <c r="T52" s="343"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14.699999999999998">
      <c r="A53" s="1419" t="s">
        <v>229</v>
      </c>
      <c r="B53" s="1419" t="s">
        <v>230</v>
      </c>
      <c r="C53" s="1419" t="s">
        <v>231</v>
      </c>
      <c r="D53" s="1419" t="s">
        <v>232</v>
      </c>
      <c r="E53" s="2315"/>
      <c r="F53" s="2315"/>
      <c r="G53" s="2315"/>
      <c r="H53" s="2314"/>
      <c r="I53" s="1419"/>
      <c r="J53" s="1419"/>
      <c r="K53" s="1419"/>
      <c r="L53" s="1420"/>
      <c r="M53" s="1421"/>
      <c r="N53" s="1421"/>
      <c r="O53" s="593"/>
      <c r="P53" s="416"/>
      <c r="Q53" s="431"/>
      <c r="R53" s="411"/>
      <c r="S53" s="1334"/>
      <c r="T53" s="421" t="s">
        <v>545</v>
      </c>
      <c r="U53" s="423"/>
      <c r="V53" s="423"/>
      <c r="W53" s="423"/>
      <c r="X53" s="423"/>
      <c r="Y53" s="423"/>
      <c r="Z53" s="423"/>
      <c r="AA53" s="423"/>
      <c r="AB53" s="423"/>
      <c r="AC53" s="422"/>
      <c r="AD53" s="423"/>
      <c r="AE53" s="423"/>
      <c r="AF53" s="423"/>
      <c r="AG53" s="423"/>
      <c r="AH53" s="423"/>
      <c r="AI53" s="423"/>
      <c r="AJ53" s="423"/>
      <c r="AK53" s="422"/>
      <c r="AL53" s="423"/>
      <c r="AM53" s="359"/>
      <c r="AO53" s="556"/>
      <c r="AP53" s="556" t="str">
        <f>IF(T53="","",T53)</f>
        <v>Добавить схему подключения</v>
      </c>
      <c r="AQ53" s="556"/>
      <c r="AR53" s="556"/>
      <c r="AS53" s="1211">
        <v>14</v>
      </c>
    </row>
    <row s="2851" customFormat="1" customHeight="1" ht="1.05">
      <c r="A54" s="1399" t="s">
        <v>229</v>
      </c>
      <c r="B54" s="1399" t="s">
        <v>230</v>
      </c>
      <c r="C54" s="1399" t="s">
        <v>231</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1</v>
      </c>
    </row>
    <row s="2851" customFormat="1" customHeight="1" ht="1.05">
      <c r="A55" s="1399" t="s">
        <v>229</v>
      </c>
      <c r="B55" s="1399" t="s">
        <v>230</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1</v>
      </c>
    </row>
    <row s="2851" customFormat="1" customHeight="1" ht="1.05">
      <c r="A56" s="1399" t="s">
        <v>229</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1</v>
      </c>
    </row>
    <row s="2851" customFormat="1" customHeight="1" ht="1.05">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1</v>
      </c>
    </row>
    <row customHeight="1" ht="11.549999999999999">
      <c r="M58" s="1216"/>
      <c r="N58" s="1216"/>
      <c r="O58" s="593"/>
      <c r="P58" s="1211"/>
      <c r="Q58" s="1211"/>
      <c r="R58" s="1211"/>
      <c r="S58" s="1211"/>
      <c r="AN58" s="1211"/>
      <c r="AO58" s="1211"/>
      <c r="AP58" s="1211"/>
      <c r="AQ58" s="1211"/>
      <c r="AR58" s="1211"/>
      <c r="AS58" s="1211">
        <v>11</v>
      </c>
    </row>
    <row customHeight="1" ht="28.5">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27</v>
      </c>
    </row>
    <row customHeight="1" ht="67.2">
      <c r="O60" s="593"/>
      <c r="P60" s="1359"/>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64</v>
      </c>
    </row>
    <row customHeight="1" ht="14.699999999999998">
      <c r="O61" s="593"/>
      <c r="AS61" s="1211">
        <v>14</v>
      </c>
    </row>
    <row customHeight="1" ht="18.75">
      <c r="O62" s="593"/>
      <c r="P62" s="1384"/>
      <c r="S62" s="130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211">
        <v>18</v>
      </c>
    </row>
    <row customHeight="1" ht="18.75">
      <c r="O63" s="593"/>
      <c r="P63" s="1384"/>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211">
        <v>18</v>
      </c>
    </row>
    <row customHeight="1" ht="29.25">
      <c r="O64" s="593"/>
      <c r="P64" s="1384"/>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28</v>
      </c>
    </row>
    <row customHeight="1" ht="22.5" hidden="1">
      <c r="A65" s="1216" t="s">
        <v>86</v>
      </c>
      <c r="B65" s="1216">
        <v>0</v>
      </c>
      <c r="C65" s="1216">
        <v>0</v>
      </c>
      <c r="D65" s="1216">
        <v>0</v>
      </c>
      <c r="E65" s="1216">
        <v>0</v>
      </c>
      <c r="F65" s="1216">
        <v>0</v>
      </c>
      <c r="G65" s="1216">
        <v>0</v>
      </c>
      <c r="H65" s="1216">
        <v>0</v>
      </c>
      <c r="I65" s="1216">
        <v>0</v>
      </c>
      <c r="J65" s="1216">
        <v>0</v>
      </c>
      <c r="K65" s="1216">
        <v>0</v>
      </c>
      <c r="L65" s="1385">
        <v>0</v>
      </c>
      <c r="M65" s="1418">
        <v>0</v>
      </c>
      <c r="N65" s="1418">
        <v>0</v>
      </c>
      <c r="O65" s="1418">
        <v>0</v>
      </c>
      <c r="P65" s="1274">
        <v>3</v>
      </c>
      <c r="Q65" s="400">
        <v>3</v>
      </c>
      <c r="R65" s="400">
        <v>3</v>
      </c>
      <c r="S65" s="637">
        <v>12</v>
      </c>
      <c r="T65" s="1211">
        <v>35</v>
      </c>
      <c r="U65" s="1211">
        <v>0</v>
      </c>
      <c r="V65" s="1211">
        <v>0</v>
      </c>
      <c r="W65" s="1211">
        <v>0</v>
      </c>
      <c r="X65" s="1211">
        <v>0</v>
      </c>
      <c r="Y65" s="1211">
        <v>0</v>
      </c>
      <c r="Z65" s="1211">
        <v>0</v>
      </c>
      <c r="AA65" s="1211">
        <v>0</v>
      </c>
      <c r="AB65" s="1211">
        <v>0</v>
      </c>
      <c r="AC65" s="1211">
        <v>0</v>
      </c>
      <c r="AD65" s="1211">
        <v>24</v>
      </c>
      <c r="AE65" s="1211">
        <v>0</v>
      </c>
      <c r="AF65" s="1211">
        <v>24</v>
      </c>
      <c r="AG65" s="1211">
        <v>24</v>
      </c>
      <c r="AH65" s="1211">
        <v>11</v>
      </c>
      <c r="AI65" s="1211">
        <v>3</v>
      </c>
      <c r="AJ65" s="1211">
        <v>11</v>
      </c>
      <c r="AK65" s="1211">
        <v>0</v>
      </c>
      <c r="AL65" s="1211">
        <v>4</v>
      </c>
      <c r="AM65" s="1211">
        <v>115</v>
      </c>
      <c r="AN65" s="567">
        <v>10</v>
      </c>
      <c r="AO65" s="567">
        <v>10</v>
      </c>
      <c r="AP65" s="567">
        <v>10</v>
      </c>
      <c r="AQ65" s="567">
        <v>10</v>
      </c>
      <c r="AR65" s="567">
        <v>10</v>
      </c>
      <c r="AS65" s="1211">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E1C6B7-76E5-A032-3279-DE6CD3C5AC47}"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92">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88"/>
      <c r="Q3" s="408"/>
      <c r="R3" s="409"/>
      <c r="S3" s="1392">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1392">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409"/>
      <c r="S5" s="1392">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556"/>
      <c r="AP5" s="556" t="str">
        <f>IF(T5="","",T5)</f>
        <v>Источник тепловой энергии  </v>
      </c>
      <c r="AQ5" s="556"/>
      <c r="AR5" s="556"/>
      <c r="AS5" s="1211">
        <v>0</v>
      </c>
    </row>
    <row customHeight="1" ht="47.25" hidden="1">
      <c r="A6" s="1419"/>
      <c r="B6" s="1419"/>
      <c r="C6" s="1419"/>
      <c r="D6" s="1419"/>
      <c r="E6" s="2315"/>
      <c r="F6" s="2315"/>
      <c r="G6" s="2315"/>
      <c r="H6" s="2315"/>
      <c r="I6" s="2312">
        <f>S5&amp;".1"</f>
      </c>
      <c r="J6" s="1419"/>
      <c r="K6" s="1419"/>
      <c r="L6" s="1420" t="s">
        <v>535</v>
      </c>
      <c r="M6" s="593"/>
      <c r="P6" s="2313">
        <v>1</v>
      </c>
      <c r="Q6" s="1387"/>
      <c r="R6" s="412"/>
      <c r="S6" s="1392">
        <f>$I6</f>
      </c>
      <c r="T6" s="341" t="s">
        <v>536</v>
      </c>
      <c r="U6" s="356"/>
      <c r="V6" s="2301"/>
      <c r="W6" s="2302"/>
      <c r="X6" s="2302"/>
      <c r="Y6" s="2302"/>
      <c r="Z6" s="2302"/>
      <c r="AA6" s="2302"/>
      <c r="AB6" s="2302"/>
      <c r="AC6" s="2303"/>
      <c r="AD6" s="2301"/>
      <c r="AE6" s="2302"/>
      <c r="AF6" s="2302"/>
      <c r="AG6" s="2302"/>
      <c r="AH6" s="2302"/>
      <c r="AI6" s="2302"/>
      <c r="AJ6" s="2302"/>
      <c r="AK6" s="2302"/>
      <c r="AL6" s="2303"/>
      <c r="AM6" s="1314" t="s">
        <v>537</v>
      </c>
      <c r="AO6" s="556"/>
      <c r="AP6" s="556" t="str">
        <f>IF(T6="","",T6)</f>
        <v>Схема подключения теплопотребляющей установки к коллектору источника тепловой энергии</v>
      </c>
      <c r="AQ6" s="556"/>
      <c r="AR6" s="556"/>
      <c r="AS6" s="1211">
        <v>0</v>
      </c>
    </row>
    <row customHeight="1" ht="21" hidden="1">
      <c r="A7" s="1419"/>
      <c r="B7" s="1419"/>
      <c r="C7" s="1419"/>
      <c r="D7" s="1419"/>
      <c r="E7" s="2315"/>
      <c r="F7" s="2315"/>
      <c r="G7" s="2315"/>
      <c r="H7" s="2315"/>
      <c r="I7" s="2342"/>
      <c r="J7" s="2312">
        <f>I6&amp;".1"</f>
      </c>
      <c r="K7" s="1419"/>
      <c r="L7" s="1420" t="s">
        <v>538</v>
      </c>
      <c r="M7" s="593"/>
      <c r="N7" s="1422"/>
      <c r="P7" s="2313"/>
      <c r="Q7" s="2313">
        <v>1</v>
      </c>
      <c r="R7" s="413"/>
      <c r="S7" s="1392">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556"/>
      <c r="AP7" s="556" t="str">
        <f>IF(T7="","",T7)</f>
        <v>Группа потребителей</v>
      </c>
      <c r="AQ7" s="556"/>
      <c r="AR7" s="556"/>
      <c r="AS7" s="1211">
        <v>0</v>
      </c>
    </row>
    <row customHeight="1" ht="21" hidden="1">
      <c r="A8" s="1419"/>
      <c r="B8" s="1419"/>
      <c r="C8" s="1419"/>
      <c r="D8" s="1419"/>
      <c r="E8" s="2315"/>
      <c r="F8" s="2315"/>
      <c r="G8" s="2315"/>
      <c r="H8" s="2315"/>
      <c r="I8" s="2342"/>
      <c r="J8" s="2342"/>
      <c r="K8" s="2312">
        <f>J7&amp;".1"</f>
      </c>
      <c r="L8" s="1420" t="s">
        <v>541</v>
      </c>
      <c r="M8" s="593"/>
      <c r="N8" s="1422"/>
      <c r="O8" s="1422"/>
      <c r="P8" s="2313"/>
      <c r="Q8" s="2313"/>
      <c r="R8" s="413">
        <v>1</v>
      </c>
      <c r="S8" s="1392">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567">
        <f>STRCHECKDATE(V9:AL9)</f>
      </c>
      <c r="AO8" s="556"/>
      <c r="AP8" s="556" t="str">
        <f>IF(T8="","",T8)</f>
        <v/>
      </c>
      <c r="AQ8" s="556"/>
      <c r="AR8" s="556"/>
      <c r="AS8" s="1211">
        <v>0</v>
      </c>
    </row>
    <row customHeight="1" ht="0.75" hidden="1">
      <c r="A9" s="1419"/>
      <c r="B9" s="1419"/>
      <c r="C9" s="1419"/>
      <c r="D9" s="1419"/>
      <c r="E9" s="2315"/>
      <c r="F9" s="2315"/>
      <c r="G9" s="2315"/>
      <c r="H9" s="2315"/>
      <c r="I9" s="2342"/>
      <c r="J9" s="2342"/>
      <c r="K9" s="2312"/>
      <c r="L9" s="1420"/>
      <c r="M9" s="593"/>
      <c r="N9" s="1422"/>
      <c r="O9" s="1422"/>
      <c r="P9" s="2313"/>
      <c r="Q9" s="2313"/>
      <c r="R9" s="413"/>
      <c r="S9" s="1398"/>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5" hidden="1">
      <c r="A10" s="1419"/>
      <c r="B10" s="1419"/>
      <c r="C10" s="1419"/>
      <c r="D10" s="1419"/>
      <c r="E10" s="2315"/>
      <c r="F10" s="2315"/>
      <c r="G10" s="2315"/>
      <c r="H10" s="2315"/>
      <c r="I10" s="2342"/>
      <c r="J10" s="2312"/>
      <c r="K10" s="1419"/>
      <c r="L10" s="1420"/>
      <c r="M10" s="593"/>
      <c r="N10" s="1422"/>
      <c r="P10" s="2313"/>
      <c r="Q10" s="2313"/>
      <c r="R10" s="412"/>
      <c r="S10" s="1334"/>
      <c r="T10" s="344"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5" hidden="1">
      <c r="A11" s="1419"/>
      <c r="B11" s="1419"/>
      <c r="C11" s="1419"/>
      <c r="D11" s="1419"/>
      <c r="E11" s="2315"/>
      <c r="F11" s="2315"/>
      <c r="G11" s="2315"/>
      <c r="H11" s="2315"/>
      <c r="I11" s="2312"/>
      <c r="J11" s="1419"/>
      <c r="K11" s="1419"/>
      <c r="L11" s="1420"/>
      <c r="M11" s="593"/>
      <c r="P11" s="2313"/>
      <c r="Q11" s="1387"/>
      <c r="R11" s="412"/>
      <c r="S11" s="1334"/>
      <c r="T11" s="343"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14.25" hidden="1">
      <c r="A12" s="1419"/>
      <c r="B12" s="1419"/>
      <c r="C12" s="1419"/>
      <c r="D12" s="1419"/>
      <c r="E12" s="2315"/>
      <c r="F12" s="2315"/>
      <c r="G12" s="2315"/>
      <c r="H12" s="2314"/>
      <c r="I12" s="1419"/>
      <c r="J12" s="1419"/>
      <c r="K12" s="1419"/>
      <c r="L12" s="1420"/>
      <c r="M12" s="1421"/>
      <c r="N12" s="1421"/>
      <c r="O12" s="593"/>
      <c r="P12" s="416"/>
      <c r="Q12" s="431"/>
      <c r="R12" s="411"/>
      <c r="S12" s="1334"/>
      <c r="T12" s="421" t="s">
        <v>545</v>
      </c>
      <c r="U12" s="423"/>
      <c r="V12" s="423"/>
      <c r="W12" s="423"/>
      <c r="X12" s="423"/>
      <c r="Y12" s="423"/>
      <c r="Z12" s="423"/>
      <c r="AA12" s="423"/>
      <c r="AB12" s="423"/>
      <c r="AC12" s="422"/>
      <c r="AD12" s="423"/>
      <c r="AE12" s="423"/>
      <c r="AF12" s="423"/>
      <c r="AG12" s="423"/>
      <c r="AH12" s="423"/>
      <c r="AI12" s="423"/>
      <c r="AJ12" s="423"/>
      <c r="AK12" s="422"/>
      <c r="AL12" s="423"/>
      <c r="AM12" s="359"/>
      <c r="AO12" s="556"/>
      <c r="AP12" s="556" t="str">
        <f>IF(T12="","",T12)</f>
        <v>Добавить схему подключения</v>
      </c>
      <c r="AQ12" s="556"/>
      <c r="AR12" s="556"/>
      <c r="AS12" s="1211">
        <v>0</v>
      </c>
    </row>
    <row s="2851" customFormat="1" customHeight="1" ht="0.7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0.7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0.7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AD17" s="1416"/>
      <c r="AE17" s="1416"/>
      <c r="AF17" s="1416"/>
      <c r="AG17" s="1417"/>
      <c r="AH17" s="2323"/>
      <c r="AI17" s="2324" t="s">
        <v>65</v>
      </c>
      <c r="AJ17" s="2323"/>
      <c r="AK17" s="2324" t="s">
        <v>65</v>
      </c>
      <c r="AS17" s="1211">
        <v>0</v>
      </c>
    </row>
    <row customHeight="1" ht="14.25" hidden="1">
      <c r="AD18" s="1416"/>
      <c r="AE18" s="1416"/>
      <c r="AF18" s="1416"/>
      <c r="AG18" s="384" t="str">
        <f>AH17&amp;"-"&amp;AJ17</f>
        <v>-</v>
      </c>
      <c r="AH18" s="2324"/>
      <c r="AI18" s="2324"/>
      <c r="AJ18" s="2324"/>
      <c r="AK18" s="2324"/>
      <c r="AS18" s="1211">
        <v>0</v>
      </c>
    </row>
    <row customHeight="1" ht="14.25" hidden="1">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14.2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AS23" s="1211">
        <v>0</v>
      </c>
    </row>
    <row customHeight="1" ht="14.25" hidden="1">
      <c r="O24" s="1420"/>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14.699999999999998">
      <c r="Q26" s="432"/>
      <c r="R26" s="432"/>
      <c r="S26" s="23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4"/>
      <c r="U26" s="2304"/>
      <c r="V26" s="2304"/>
      <c r="W26" s="2304"/>
      <c r="X26" s="2304"/>
      <c r="Y26" s="2304"/>
      <c r="Z26" s="2304"/>
      <c r="AA26" s="2304"/>
      <c r="AB26" s="2304"/>
      <c r="AC26" s="2304"/>
      <c r="AD26" s="2304"/>
      <c r="AE26" s="2304"/>
      <c r="AF26" s="2304"/>
      <c r="AG26" s="2304"/>
      <c r="AH26" s="2304"/>
      <c r="AI26" s="2304"/>
      <c r="AJ26" s="2304"/>
      <c r="AK26" s="1299"/>
      <c r="AS26" s="1211">
        <v>14</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18.7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396"/>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211">
        <v>14</v>
      </c>
    </row>
    <row customHeight="1" ht="35.699999999999996">
      <c r="Q40" s="432"/>
      <c r="R40" s="432"/>
      <c r="S40" s="2329"/>
      <c r="T40" s="2265"/>
      <c r="U40" s="1087"/>
      <c r="V40" s="2316" t="s">
        <v>563</v>
      </c>
      <c r="W40" s="2339" t="s">
        <v>564</v>
      </c>
      <c r="X40" s="2318" t="s">
        <v>565</v>
      </c>
      <c r="Y40" s="2319"/>
      <c r="Z40" s="2318" t="s">
        <v>578</v>
      </c>
      <c r="AA40" s="2325"/>
      <c r="AB40" s="2319"/>
      <c r="AC40" s="2334"/>
      <c r="AD40" s="2316" t="s">
        <v>563</v>
      </c>
      <c r="AE40" s="2339" t="s">
        <v>564</v>
      </c>
      <c r="AF40" s="2318" t="s">
        <v>565</v>
      </c>
      <c r="AG40" s="2319"/>
      <c r="AH40" s="2318" t="s">
        <v>566</v>
      </c>
      <c r="AI40" s="2325"/>
      <c r="AJ40" s="2319"/>
      <c r="AK40" s="2334"/>
      <c r="AL40" s="2337"/>
      <c r="AM40" s="2183"/>
      <c r="AS40" s="1211">
        <v>34</v>
      </c>
    </row>
    <row customHeight="1" ht="35.699999999999996">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Q41" s="432"/>
      <c r="R41" s="432"/>
      <c r="S41" s="2329"/>
      <c r="T41" s="2265"/>
      <c r="U41" s="358"/>
      <c r="V41" s="2317"/>
      <c r="W41" s="2340"/>
      <c r="X41" s="1278" t="s">
        <v>574</v>
      </c>
      <c r="Y41" s="1278" t="s">
        <v>575</v>
      </c>
      <c r="Z41" s="1394" t="s">
        <v>576</v>
      </c>
      <c r="AA41" s="2326" t="s">
        <v>577</v>
      </c>
      <c r="AB41" s="2327"/>
      <c r="AC41" s="2335"/>
      <c r="AD41" s="2317"/>
      <c r="AE41" s="2340"/>
      <c r="AF41" s="1278" t="s">
        <v>574</v>
      </c>
      <c r="AG41" s="1278" t="s">
        <v>575</v>
      </c>
      <c r="AH41" s="1394" t="s">
        <v>576</v>
      </c>
      <c r="AI41" s="2326" t="s">
        <v>577</v>
      </c>
      <c r="AJ41" s="2327"/>
      <c r="AK41" s="2335"/>
      <c r="AL41" s="2338"/>
      <c r="AM41" s="2183"/>
      <c r="AS41" s="1211">
        <v>34</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91">
        <f>OFFSET(V42,0,-1)+1</f>
        <v>3</v>
      </c>
      <c r="W42" s="1391"/>
      <c r="X42" s="1391">
        <f>OFFSET(X42,0,-1)+1</f>
        <v>1</v>
      </c>
      <c r="Y42" s="1391">
        <f>OFFSET(Y42,0,-1)+1</f>
        <v>2</v>
      </c>
      <c r="Z42" s="1391">
        <f>OFFSET(Z42,0,-1)+1</f>
        <v>3</v>
      </c>
      <c r="AA42" s="2328">
        <f>OFFSET(AA42,0,-1)+1</f>
        <v>4</v>
      </c>
      <c r="AB42" s="2328"/>
      <c r="AC42" s="1391">
        <f>OFFSET(AC42,0,-2)+1</f>
        <v>5</v>
      </c>
      <c r="AD42" s="1391">
        <f>OFFSET(AD42,0,-1)+1</f>
        <v>6</v>
      </c>
      <c r="AE42" s="1391"/>
      <c r="AF42" s="1391">
        <f>OFFSET(AF42,0,-1)+1</f>
        <v>1</v>
      </c>
      <c r="AG42" s="1391">
        <f>OFFSET(AG42,0,-1)+1</f>
        <v>2</v>
      </c>
      <c r="AH42" s="1391">
        <f>OFFSET(AH42,0,-1)+1</f>
        <v>3</v>
      </c>
      <c r="AI42" s="2328">
        <f>OFFSET(AI42,0,-1)+1</f>
        <v>4</v>
      </c>
      <c r="AJ42" s="2328"/>
      <c r="AK42" s="1391">
        <f>OFFSET(AK42,0,-2)+1</f>
        <v>5</v>
      </c>
      <c r="AL42" s="1301">
        <f>OFFSET(AL42,0,-1)</f>
        <v>5</v>
      </c>
      <c r="AM42" s="1391">
        <f>OFFSET(AM42,0,-1)+1</f>
        <v>6</v>
      </c>
      <c r="AN42" s="567"/>
      <c r="AO42" s="567"/>
      <c r="AP42" s="567"/>
      <c r="AQ42" s="567"/>
      <c r="AR42" s="567"/>
      <c r="AS42" s="552">
        <v>0</v>
      </c>
    </row>
    <row customHeight="1" ht="22.049999999999997">
      <c r="A43" s="1419" t="s">
        <v>234</v>
      </c>
      <c r="B43" s="1419"/>
      <c r="C43" s="1419"/>
      <c r="D43" s="1419"/>
      <c r="E43" s="2314">
        <v>1</v>
      </c>
      <c r="F43" s="1419"/>
      <c r="G43" s="1419"/>
      <c r="H43" s="1419"/>
      <c r="I43" s="1419"/>
      <c r="J43" s="1419"/>
      <c r="K43" s="1419"/>
      <c r="L43" s="1420"/>
      <c r="M43" s="1421"/>
      <c r="N43" s="1421"/>
      <c r="O43" s="1421"/>
      <c r="P43" s="417"/>
      <c r="Q43" s="416"/>
      <c r="R43" s="411"/>
      <c r="S43" s="1392">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21</v>
      </c>
    </row>
    <row customHeight="1" ht="22.049999999999997">
      <c r="A44" s="1419" t="s">
        <v>234</v>
      </c>
      <c r="B44" s="1419" t="s">
        <v>235</v>
      </c>
      <c r="C44" s="1419"/>
      <c r="D44" s="1419"/>
      <c r="E44" s="2315"/>
      <c r="F44" s="2314">
        <v>1</v>
      </c>
      <c r="G44" s="1419"/>
      <c r="H44" s="1419"/>
      <c r="I44" s="1419"/>
      <c r="J44" s="1419"/>
      <c r="K44" s="1419"/>
      <c r="L44" s="1420"/>
      <c r="M44" s="1421"/>
      <c r="N44" s="1421"/>
      <c r="O44" s="1421"/>
      <c r="P44" s="1388"/>
      <c r="Q44" s="408"/>
      <c r="R44" s="409"/>
      <c r="S44" s="1392"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21</v>
      </c>
    </row>
    <row customHeight="1" ht="24">
      <c r="A45" s="1419" t="s">
        <v>234</v>
      </c>
      <c r="B45" s="1419" t="s">
        <v>235</v>
      </c>
      <c r="C45" s="1419" t="s">
        <v>236</v>
      </c>
      <c r="D45" s="1419"/>
      <c r="E45" s="2315"/>
      <c r="F45" s="2315"/>
      <c r="G45" s="2314">
        <v>1</v>
      </c>
      <c r="H45" s="1419"/>
      <c r="I45" s="1419"/>
      <c r="J45" s="1419"/>
      <c r="K45" s="1419"/>
      <c r="L45" s="1420"/>
      <c r="M45" s="1421"/>
      <c r="N45" s="1421"/>
      <c r="O45" s="1421"/>
      <c r="P45" s="410"/>
      <c r="Q45" s="408"/>
      <c r="R45" s="409"/>
      <c r="S45" s="1392"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2.049999999999997">
      <c r="A46" s="1419" t="s">
        <v>234</v>
      </c>
      <c r="B46" s="1419" t="s">
        <v>235</v>
      </c>
      <c r="C46" s="1419" t="s">
        <v>236</v>
      </c>
      <c r="D46" s="1419" t="s">
        <v>237</v>
      </c>
      <c r="E46" s="2315"/>
      <c r="F46" s="2315"/>
      <c r="G46" s="2315"/>
      <c r="H46" s="2314">
        <v>1</v>
      </c>
      <c r="I46" s="1419"/>
      <c r="J46" s="1419"/>
      <c r="K46" s="1419"/>
      <c r="L46" s="1420"/>
      <c r="M46" s="1421"/>
      <c r="N46" s="1421"/>
      <c r="O46" s="1421"/>
      <c r="P46" s="410"/>
      <c r="Q46" s="408"/>
      <c r="R46" s="409"/>
      <c r="S46" s="1392"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21</v>
      </c>
    </row>
    <row customHeight="1" ht="49.5">
      <c r="A47" s="1419" t="s">
        <v>234</v>
      </c>
      <c r="B47" s="1419" t="s">
        <v>235</v>
      </c>
      <c r="C47" s="1419" t="s">
        <v>236</v>
      </c>
      <c r="D47" s="1419" t="s">
        <v>237</v>
      </c>
      <c r="E47" s="2315"/>
      <c r="F47" s="2315"/>
      <c r="G47" s="2315"/>
      <c r="H47" s="2315"/>
      <c r="I47" s="2312" t="str">
        <f>S46&amp;".1"</f>
        <v>....1</v>
      </c>
      <c r="J47" s="1419"/>
      <c r="K47" s="1419"/>
      <c r="L47" s="1420" t="s">
        <v>535</v>
      </c>
      <c r="P47" s="2313">
        <v>1</v>
      </c>
      <c r="Q47" s="1387"/>
      <c r="R47" s="412"/>
      <c r="S47" s="1392" t="str">
        <f>$I47</f>
        <v>....1</v>
      </c>
      <c r="T47" s="341" t="s">
        <v>536</v>
      </c>
      <c r="U47" s="356"/>
      <c r="V47" s="2301"/>
      <c r="W47" s="2302"/>
      <c r="X47" s="2302"/>
      <c r="Y47" s="2302"/>
      <c r="Z47" s="2302"/>
      <c r="AA47" s="2302"/>
      <c r="AB47" s="2302"/>
      <c r="AC47" s="2303"/>
      <c r="AD47" s="2301"/>
      <c r="AE47" s="2302"/>
      <c r="AF47" s="2302"/>
      <c r="AG47" s="2302"/>
      <c r="AH47" s="2302"/>
      <c r="AI47" s="2302"/>
      <c r="AJ47" s="2302"/>
      <c r="AK47" s="2302"/>
      <c r="AL47" s="2303"/>
      <c r="AM47" s="1314" t="s">
        <v>537</v>
      </c>
      <c r="AO47" s="556"/>
      <c r="AP47" s="556" t="str">
        <f>IF(T47="","",T47)</f>
        <v>Схема подключения теплопотребляющей установки к коллектору источника тепловой энергии</v>
      </c>
      <c r="AQ47" s="556"/>
      <c r="AR47" s="556"/>
      <c r="AS47" s="1211">
        <v>47</v>
      </c>
    </row>
    <row customHeight="1" ht="22.049999999999997">
      <c r="A48" s="1419" t="s">
        <v>234</v>
      </c>
      <c r="B48" s="1419" t="s">
        <v>235</v>
      </c>
      <c r="C48" s="1419" t="s">
        <v>236</v>
      </c>
      <c r="D48" s="1419" t="s">
        <v>237</v>
      </c>
      <c r="E48" s="2315"/>
      <c r="F48" s="2315"/>
      <c r="G48" s="2315"/>
      <c r="H48" s="2315"/>
      <c r="I48" s="2342"/>
      <c r="J48" s="2312" t="str">
        <f>I47&amp;".1"</f>
        <v>....1.1</v>
      </c>
      <c r="K48" s="1419"/>
      <c r="L48" s="1420" t="s">
        <v>538</v>
      </c>
      <c r="P48" s="2313"/>
      <c r="Q48" s="2313">
        <v>1</v>
      </c>
      <c r="R48" s="413"/>
      <c r="S48" s="1392" t="str">
        <f>$J48</f>
        <v>....1.1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21</v>
      </c>
    </row>
    <row customHeight="1" ht="22.049999999999997">
      <c r="A49" s="1419" t="s">
        <v>234</v>
      </c>
      <c r="B49" s="1419" t="s">
        <v>235</v>
      </c>
      <c r="C49" s="1419" t="s">
        <v>236</v>
      </c>
      <c r="D49" s="1419" t="s">
        <v>237</v>
      </c>
      <c r="E49" s="2315"/>
      <c r="F49" s="2315"/>
      <c r="G49" s="2315"/>
      <c r="H49" s="2315"/>
      <c r="I49" s="2342"/>
      <c r="J49" s="2342"/>
      <c r="K49" s="2312" t="str">
        <f>J48&amp;".1"</f>
        <v>....1.1.1</v>
      </c>
      <c r="L49" s="1420" t="s">
        <v>541</v>
      </c>
      <c r="P49" s="2313"/>
      <c r="Q49" s="2313"/>
      <c r="R49" s="413">
        <v>1</v>
      </c>
      <c r="S49" s="1392" t="str">
        <f>$K49</f>
        <v>....1.1.1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542</v>
      </c>
      <c r="AN49" s="567">
        <f>STRCHECKDATE(V50:AL50)</f>
      </c>
      <c r="AO49" s="556"/>
      <c r="AP49" s="556" t="str">
        <f>IF(T49="","",T49)</f>
        <v/>
      </c>
      <c r="AQ49" s="556"/>
      <c r="AR49" s="556"/>
      <c r="AS49" s="1211">
        <v>21</v>
      </c>
    </row>
    <row customHeight="1" ht="1.05">
      <c r="A50" s="1419" t="s">
        <v>234</v>
      </c>
      <c r="B50" s="1419" t="s">
        <v>235</v>
      </c>
      <c r="C50" s="1419" t="s">
        <v>236</v>
      </c>
      <c r="D50" s="1419" t="s">
        <v>237</v>
      </c>
      <c r="E50" s="2315"/>
      <c r="F50" s="2315"/>
      <c r="G50" s="2315"/>
      <c r="H50" s="2315"/>
      <c r="I50" s="2342"/>
      <c r="J50" s="2342"/>
      <c r="K50" s="2312"/>
      <c r="L50" s="1420"/>
      <c r="P50" s="2313"/>
      <c r="Q50" s="2313"/>
      <c r="R50" s="413"/>
      <c r="S50" s="1398"/>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1</v>
      </c>
    </row>
    <row customHeight="1" ht="11.549999999999999">
      <c r="A51" s="1419" t="s">
        <v>234</v>
      </c>
      <c r="B51" s="1419" t="s">
        <v>235</v>
      </c>
      <c r="C51" s="1419" t="s">
        <v>236</v>
      </c>
      <c r="D51" s="1419" t="s">
        <v>237</v>
      </c>
      <c r="E51" s="2315"/>
      <c r="F51" s="2315"/>
      <c r="G51" s="2315"/>
      <c r="H51" s="2315"/>
      <c r="I51" s="2342"/>
      <c r="J51" s="2312"/>
      <c r="K51" s="1419"/>
      <c r="L51" s="1420"/>
      <c r="P51" s="2313"/>
      <c r="Q51" s="2313"/>
      <c r="R51" s="412"/>
      <c r="S51" s="1334"/>
      <c r="T51" s="344"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234</v>
      </c>
      <c r="B52" s="1419" t="s">
        <v>235</v>
      </c>
      <c r="C52" s="1419" t="s">
        <v>236</v>
      </c>
      <c r="D52" s="1419" t="s">
        <v>237</v>
      </c>
      <c r="E52" s="2315"/>
      <c r="F52" s="2315"/>
      <c r="G52" s="2315"/>
      <c r="H52" s="2315"/>
      <c r="I52" s="2312"/>
      <c r="J52" s="1419"/>
      <c r="K52" s="1419"/>
      <c r="L52" s="1420"/>
      <c r="P52" s="2313"/>
      <c r="Q52" s="1387"/>
      <c r="R52" s="412"/>
      <c r="S52" s="1334"/>
      <c r="T52" s="343"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14.699999999999998">
      <c r="A53" s="1419" t="s">
        <v>234</v>
      </c>
      <c r="B53" s="1419" t="s">
        <v>235</v>
      </c>
      <c r="C53" s="1419" t="s">
        <v>236</v>
      </c>
      <c r="D53" s="1419" t="s">
        <v>237</v>
      </c>
      <c r="E53" s="2315"/>
      <c r="F53" s="2315"/>
      <c r="G53" s="2315"/>
      <c r="H53" s="2314"/>
      <c r="I53" s="1419"/>
      <c r="J53" s="1419"/>
      <c r="K53" s="1419"/>
      <c r="L53" s="1420"/>
      <c r="M53" s="1421"/>
      <c r="N53" s="1421"/>
      <c r="O53" s="593"/>
      <c r="P53" s="416"/>
      <c r="Q53" s="431"/>
      <c r="R53" s="411"/>
      <c r="S53" s="1334"/>
      <c r="T53" s="421" t="s">
        <v>545</v>
      </c>
      <c r="U53" s="423"/>
      <c r="V53" s="423"/>
      <c r="W53" s="423"/>
      <c r="X53" s="423"/>
      <c r="Y53" s="423"/>
      <c r="Z53" s="423"/>
      <c r="AA53" s="423"/>
      <c r="AB53" s="423"/>
      <c r="AC53" s="422"/>
      <c r="AD53" s="423"/>
      <c r="AE53" s="423"/>
      <c r="AF53" s="423"/>
      <c r="AG53" s="423"/>
      <c r="AH53" s="423"/>
      <c r="AI53" s="423"/>
      <c r="AJ53" s="423"/>
      <c r="AK53" s="422"/>
      <c r="AL53" s="423"/>
      <c r="AM53" s="359"/>
      <c r="AO53" s="556"/>
      <c r="AP53" s="556" t="str">
        <f>IF(T53="","",T53)</f>
        <v>Добавить схему подключения</v>
      </c>
      <c r="AQ53" s="556"/>
      <c r="AR53" s="556"/>
      <c r="AS53" s="1211">
        <v>14</v>
      </c>
    </row>
    <row s="2851" customFormat="1" customHeight="1" ht="1.05">
      <c r="A54" s="1399" t="s">
        <v>234</v>
      </c>
      <c r="B54" s="1399" t="s">
        <v>235</v>
      </c>
      <c r="C54" s="1399" t="s">
        <v>236</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1</v>
      </c>
    </row>
    <row s="2851" customFormat="1" customHeight="1" ht="1.05">
      <c r="A55" s="1399" t="s">
        <v>234</v>
      </c>
      <c r="B55" s="1399" t="s">
        <v>235</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1</v>
      </c>
    </row>
    <row s="2851" customFormat="1" customHeight="1" ht="1.05">
      <c r="A56" s="1399" t="s">
        <v>234</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1</v>
      </c>
    </row>
    <row s="2851" customFormat="1" customHeight="1" ht="1.05">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1</v>
      </c>
    </row>
    <row customHeight="1" ht="11.549999999999999">
      <c r="M58" s="1216"/>
      <c r="N58" s="1216"/>
      <c r="O58" s="593"/>
      <c r="P58" s="1211"/>
      <c r="Q58" s="1211"/>
      <c r="R58" s="1211"/>
      <c r="S58" s="1211"/>
      <c r="AN58" s="1211"/>
      <c r="AO58" s="1211"/>
      <c r="AP58" s="1211"/>
      <c r="AQ58" s="1211"/>
      <c r="AR58" s="1211"/>
      <c r="AS58" s="1211">
        <v>11</v>
      </c>
    </row>
    <row customHeight="1" ht="28.5">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27</v>
      </c>
    </row>
    <row customHeight="1" ht="65.25">
      <c r="O60" s="59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62</v>
      </c>
    </row>
    <row customHeight="1" ht="14.699999999999998">
      <c r="O61" s="593"/>
      <c r="AS61" s="1211">
        <v>14</v>
      </c>
    </row>
    <row customHeight="1" ht="18.75">
      <c r="O62" s="593"/>
      <c r="S62" s="130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211">
        <v>18</v>
      </c>
    </row>
    <row customHeight="1" ht="18.75">
      <c r="O63" s="593"/>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211">
        <v>18</v>
      </c>
    </row>
    <row customHeight="1" ht="29.25">
      <c r="O64" s="593"/>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28</v>
      </c>
    </row>
    <row customHeight="1" ht="22.5" hidden="1">
      <c r="A65" s="1216" t="s">
        <v>86</v>
      </c>
      <c r="B65" s="1216">
        <v>0</v>
      </c>
      <c r="C65" s="1216">
        <v>0</v>
      </c>
      <c r="D65" s="1216">
        <v>0</v>
      </c>
      <c r="E65" s="1216">
        <v>0</v>
      </c>
      <c r="F65" s="1216">
        <v>0</v>
      </c>
      <c r="G65" s="1216">
        <v>0</v>
      </c>
      <c r="H65" s="1216">
        <v>0</v>
      </c>
      <c r="I65" s="1216">
        <v>0</v>
      </c>
      <c r="J65" s="1216">
        <v>0</v>
      </c>
      <c r="K65" s="1216">
        <v>0</v>
      </c>
      <c r="L65" s="1385">
        <v>0</v>
      </c>
      <c r="M65" s="1418">
        <v>0</v>
      </c>
      <c r="N65" s="1418">
        <v>0</v>
      </c>
      <c r="O65" s="1418">
        <v>0</v>
      </c>
      <c r="P65" s="1384">
        <v>3</v>
      </c>
      <c r="Q65" s="400">
        <v>3</v>
      </c>
      <c r="R65" s="400">
        <v>3</v>
      </c>
      <c r="S65" s="637">
        <v>12</v>
      </c>
      <c r="T65" s="1211">
        <v>31</v>
      </c>
      <c r="U65" s="1211">
        <v>0</v>
      </c>
      <c r="V65" s="1211">
        <v>0</v>
      </c>
      <c r="W65" s="1211">
        <v>0</v>
      </c>
      <c r="X65" s="1211">
        <v>0</v>
      </c>
      <c r="Y65" s="1211">
        <v>0</v>
      </c>
      <c r="Z65" s="1211">
        <v>0</v>
      </c>
      <c r="AA65" s="1211">
        <v>0</v>
      </c>
      <c r="AB65" s="1211">
        <v>0</v>
      </c>
      <c r="AC65" s="1211">
        <v>0</v>
      </c>
      <c r="AD65" s="1211">
        <v>24</v>
      </c>
      <c r="AE65" s="1211">
        <v>0</v>
      </c>
      <c r="AF65" s="1211">
        <v>24</v>
      </c>
      <c r="AG65" s="1211">
        <v>24</v>
      </c>
      <c r="AH65" s="1211">
        <v>11</v>
      </c>
      <c r="AI65" s="1211">
        <v>3</v>
      </c>
      <c r="AJ65" s="1211">
        <v>11</v>
      </c>
      <c r="AK65" s="1211">
        <v>0</v>
      </c>
      <c r="AL65" s="1211">
        <v>4</v>
      </c>
      <c r="AM65" s="1211">
        <v>115</v>
      </c>
      <c r="AN65" s="567">
        <v>10</v>
      </c>
      <c r="AO65" s="567">
        <v>10</v>
      </c>
      <c r="AP65" s="567">
        <v>10</v>
      </c>
      <c r="AQ65" s="567">
        <v>10</v>
      </c>
      <c r="AR65" s="567">
        <v>10</v>
      </c>
      <c r="AS65" s="1211">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3D6DDB-1462-1CFE-A68F-65563B630C55}"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74" width="10.57421875" hidden="1"/>
    <col min="2" max="2" style="2774" width="11.00390625" hidden="1" customWidth="1"/>
    <col min="3" max="3" style="2774" width="10.57421875" hidden="1"/>
    <col min="4" max="4" style="2774" width="11.8515625" hidden="1" customWidth="1"/>
    <col min="5" max="5" style="2774" width="10.00390625" hidden="1" customWidth="1"/>
    <col min="6" max="6" style="2774" width="8.7109375" hidden="1" customWidth="1"/>
    <col min="7" max="7" style="2774" width="7.57421875" hidden="1" customWidth="1"/>
    <col min="8" max="8" style="2774" width="11.421875" hidden="1" customWidth="1"/>
    <col min="9" max="9" style="2774" width="12.00390625" hidden="1" customWidth="1"/>
    <col min="10" max="10" style="2774" width="9.8515625" hidden="1" customWidth="1"/>
    <col min="11" max="11" style="2774" width="11.421875" hidden="1" customWidth="1"/>
    <col min="12" max="12" style="2849" width="19.140625" hidden="1" customWidth="1"/>
    <col min="13" max="14" style="3680" width="12.28125" hidden="1" customWidth="1"/>
    <col min="15" max="15" style="3680" width="23.421875" hidden="1" customWidth="1"/>
    <col min="16" max="16" style="3680" width="3.00390625"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AS1" s="1687" t="s">
        <v>14</v>
      </c>
    </row>
    <row customHeight="1" ht="21" hidden="1">
      <c r="A2" s="1323"/>
      <c r="B2" s="1323"/>
      <c r="C2" s="1323"/>
      <c r="D2" s="1323"/>
      <c r="E2" s="2345">
        <v>1</v>
      </c>
      <c r="F2" s="1323"/>
      <c r="G2" s="1323"/>
      <c r="H2" s="1323"/>
      <c r="I2" s="1323"/>
      <c r="J2" s="1323"/>
      <c r="K2" s="1323"/>
      <c r="L2" s="1366"/>
      <c r="M2" s="1666"/>
      <c r="N2" s="1666"/>
      <c r="O2" s="1666"/>
      <c r="P2" s="1646"/>
      <c r="Q2" s="416"/>
      <c r="R2" s="411"/>
      <c r="S2" s="2014">
        <f>INDEX(PT_DIFFERENTIATION_NUM_NTAR,MATCH(A2,PT_DIFFERENTIATION_NTAR_ID,0))</f>
      </c>
      <c r="T2" s="1581"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1680"/>
      <c r="AP2" s="1680" t="str">
        <f>IF(T2="","",T2)</f>
        <v>Наименование тарифа</v>
      </c>
      <c r="AQ2" s="1680"/>
      <c r="AR2" s="1680"/>
      <c r="AS2" s="1687">
        <v>0</v>
      </c>
    </row>
    <row customHeight="1" ht="21" hidden="1">
      <c r="A3" s="1323"/>
      <c r="B3" s="1323"/>
      <c r="C3" s="1323"/>
      <c r="D3" s="1323"/>
      <c r="E3" s="2346"/>
      <c r="F3" s="2345">
        <v>1</v>
      </c>
      <c r="G3" s="1323"/>
      <c r="H3" s="1323"/>
      <c r="I3" s="1323"/>
      <c r="J3" s="1323"/>
      <c r="K3" s="1323"/>
      <c r="L3" s="1366"/>
      <c r="M3" s="1666"/>
      <c r="N3" s="1666"/>
      <c r="O3" s="1666"/>
      <c r="P3" s="1996"/>
      <c r="Q3" s="408"/>
      <c r="R3" s="409"/>
      <c r="S3" s="2014">
        <f>INDEX(PT_DIFFERENTIATION_NUM_TER,MATCH(B3,PT_DIFFERENTIATION_TER_ID,0))</f>
      </c>
      <c r="T3" s="1578"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1680"/>
      <c r="AP3" s="1680" t="str">
        <f>IF(T3="","",T3)</f>
        <v>Территория действия тарифа</v>
      </c>
      <c r="AQ3" s="1680"/>
      <c r="AR3" s="1680"/>
      <c r="AS3" s="1687">
        <v>0</v>
      </c>
    </row>
    <row customHeight="1" ht="23.25" hidden="1">
      <c r="A4" s="1323"/>
      <c r="B4" s="1323"/>
      <c r="C4" s="1323"/>
      <c r="D4" s="1323"/>
      <c r="E4" s="2346"/>
      <c r="F4" s="2346"/>
      <c r="G4" s="2345">
        <v>1</v>
      </c>
      <c r="H4" s="1323"/>
      <c r="I4" s="1323"/>
      <c r="J4" s="1323"/>
      <c r="K4" s="1323"/>
      <c r="L4" s="1366"/>
      <c r="M4" s="1666"/>
      <c r="N4" s="1666"/>
      <c r="O4" s="1666"/>
      <c r="P4" s="410"/>
      <c r="Q4" s="408"/>
      <c r="R4" s="409"/>
      <c r="S4" s="2014">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1680"/>
      <c r="AP4" s="1680" t="str">
        <f>IF(T4="","",T4)</f>
        <v>Наименование системы теплоснабжения </v>
      </c>
      <c r="AQ4" s="1680"/>
      <c r="AR4" s="1680"/>
      <c r="AS4" s="1687">
        <v>0</v>
      </c>
    </row>
    <row customHeight="1" ht="21" hidden="1">
      <c r="A5" s="1323"/>
      <c r="B5" s="1323"/>
      <c r="C5" s="1323"/>
      <c r="D5" s="1323"/>
      <c r="E5" s="2346"/>
      <c r="F5" s="2346"/>
      <c r="G5" s="2346"/>
      <c r="H5" s="2345">
        <v>1</v>
      </c>
      <c r="I5" s="1323"/>
      <c r="J5" s="1323"/>
      <c r="K5" s="1323"/>
      <c r="L5" s="1366"/>
      <c r="M5" s="1666"/>
      <c r="N5" s="1666"/>
      <c r="O5" s="1666"/>
      <c r="P5" s="410"/>
      <c r="Q5" s="408"/>
      <c r="R5" s="409"/>
      <c r="S5" s="2014">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1680"/>
      <c r="AP5" s="1680" t="str">
        <f>IF(T5="","",T5)</f>
        <v>Источник тепловой энергии  </v>
      </c>
      <c r="AQ5" s="1680"/>
      <c r="AR5" s="1680"/>
      <c r="AS5" s="1687">
        <v>0</v>
      </c>
    </row>
    <row customHeight="1" ht="47.25" hidden="1">
      <c r="A6" s="1323"/>
      <c r="B6" s="1323"/>
      <c r="C6" s="1323"/>
      <c r="D6" s="1323"/>
      <c r="E6" s="2346"/>
      <c r="F6" s="2346"/>
      <c r="G6" s="2346"/>
      <c r="H6" s="2346"/>
      <c r="I6" s="2183">
        <f>S5&amp;".1"</f>
      </c>
      <c r="J6" s="1323"/>
      <c r="K6" s="1323"/>
      <c r="L6" s="1366" t="s">
        <v>535</v>
      </c>
      <c r="M6" s="1691"/>
      <c r="P6" s="2313">
        <v>1</v>
      </c>
      <c r="Q6" s="2010"/>
      <c r="R6" s="412"/>
      <c r="S6" s="2014">
        <f>$I6</f>
      </c>
      <c r="T6" s="341" t="s">
        <v>536</v>
      </c>
      <c r="U6" s="356"/>
      <c r="V6" s="2301"/>
      <c r="W6" s="2302"/>
      <c r="X6" s="2302"/>
      <c r="Y6" s="2302"/>
      <c r="Z6" s="2302"/>
      <c r="AA6" s="2302"/>
      <c r="AB6" s="2302"/>
      <c r="AC6" s="2303"/>
      <c r="AD6" s="2301"/>
      <c r="AE6" s="2302"/>
      <c r="AF6" s="2302"/>
      <c r="AG6" s="2302"/>
      <c r="AH6" s="2302"/>
      <c r="AI6" s="2302"/>
      <c r="AJ6" s="2302"/>
      <c r="AK6" s="2302"/>
      <c r="AL6" s="2303"/>
      <c r="AM6" s="1314" t="s">
        <v>537</v>
      </c>
      <c r="AO6" s="1680"/>
      <c r="AP6" s="1680" t="str">
        <f>IF(T6="","",T6)</f>
        <v>Схема подключения теплопотребляющей установки к коллектору источника тепловой энергии</v>
      </c>
      <c r="AQ6" s="1680"/>
      <c r="AR6" s="1680"/>
      <c r="AS6" s="1687">
        <v>0</v>
      </c>
    </row>
    <row customHeight="1" ht="21" hidden="1">
      <c r="A7" s="1323"/>
      <c r="B7" s="1323"/>
      <c r="C7" s="1323"/>
      <c r="D7" s="1323"/>
      <c r="E7" s="2346"/>
      <c r="F7" s="2346"/>
      <c r="G7" s="2346"/>
      <c r="H7" s="2346"/>
      <c r="I7" s="2157"/>
      <c r="J7" s="2183">
        <f>I6&amp;".1"</f>
      </c>
      <c r="K7" s="1323"/>
      <c r="L7" s="1366" t="s">
        <v>538</v>
      </c>
      <c r="M7" s="1691"/>
      <c r="N7" s="1687"/>
      <c r="P7" s="2313"/>
      <c r="Q7" s="2313">
        <v>1</v>
      </c>
      <c r="R7" s="413"/>
      <c r="S7" s="2014">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1680"/>
      <c r="AP7" s="1680" t="str">
        <f>IF(T7="","",T7)</f>
        <v>Группа потребителей</v>
      </c>
      <c r="AQ7" s="1680"/>
      <c r="AR7" s="1680"/>
      <c r="AS7" s="1687">
        <v>0</v>
      </c>
    </row>
    <row customHeight="1" ht="21" hidden="1">
      <c r="A8" s="1323"/>
      <c r="B8" s="1323"/>
      <c r="C8" s="1323"/>
      <c r="D8" s="1323"/>
      <c r="E8" s="2346"/>
      <c r="F8" s="2346"/>
      <c r="G8" s="2346"/>
      <c r="H8" s="2346"/>
      <c r="I8" s="2157"/>
      <c r="J8" s="2157"/>
      <c r="K8" s="2183">
        <f>J7&amp;".1"</f>
      </c>
      <c r="L8" s="1366" t="s">
        <v>541</v>
      </c>
      <c r="M8" s="1691"/>
      <c r="N8" s="1687"/>
      <c r="O8" s="1687"/>
      <c r="P8" s="2313"/>
      <c r="Q8" s="2313"/>
      <c r="R8" s="413">
        <v>1</v>
      </c>
      <c r="S8" s="2014">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1692">
        <f>STRCHECKDATE(V9:AL9)</f>
      </c>
      <c r="AO8" s="1680"/>
      <c r="AP8" s="1680" t="str">
        <f>IF(T8="","",T8)</f>
        <v/>
      </c>
      <c r="AQ8" s="1680"/>
      <c r="AR8" s="1680"/>
      <c r="AS8" s="1687">
        <v>0</v>
      </c>
    </row>
    <row customHeight="1" ht="0.75" hidden="1">
      <c r="A9" s="1323"/>
      <c r="B9" s="1323"/>
      <c r="C9" s="1323"/>
      <c r="D9" s="1323"/>
      <c r="E9" s="2346"/>
      <c r="F9" s="2346"/>
      <c r="G9" s="2346"/>
      <c r="H9" s="2346"/>
      <c r="I9" s="2157"/>
      <c r="J9" s="2157"/>
      <c r="K9" s="2183"/>
      <c r="L9" s="1366"/>
      <c r="M9" s="1691"/>
      <c r="N9" s="1687"/>
      <c r="O9" s="1687"/>
      <c r="P9" s="2313"/>
      <c r="Q9" s="2313"/>
      <c r="R9" s="413"/>
      <c r="S9" s="2023"/>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1680"/>
      <c r="AP9" s="1680" t="str">
        <f>IF(T9="","",T9)</f>
        <v/>
      </c>
      <c r="AQ9" s="1680"/>
      <c r="AR9" s="1680"/>
      <c r="AS9" s="1687">
        <v>0</v>
      </c>
    </row>
    <row customHeight="1" ht="15" hidden="1">
      <c r="A10" s="1323"/>
      <c r="B10" s="1323"/>
      <c r="C10" s="1323"/>
      <c r="D10" s="1323"/>
      <c r="E10" s="2346"/>
      <c r="F10" s="2346"/>
      <c r="G10" s="2346"/>
      <c r="H10" s="2346"/>
      <c r="I10" s="2157"/>
      <c r="J10" s="2183"/>
      <c r="K10" s="1323"/>
      <c r="L10" s="1366"/>
      <c r="M10" s="1691"/>
      <c r="N10" s="1687"/>
      <c r="P10" s="2313"/>
      <c r="Q10" s="2313"/>
      <c r="R10" s="412"/>
      <c r="S10" s="1334"/>
      <c r="T10" s="344" t="s">
        <v>543</v>
      </c>
      <c r="U10" s="656"/>
      <c r="V10" s="656"/>
      <c r="W10" s="656"/>
      <c r="X10" s="656"/>
      <c r="Y10" s="656"/>
      <c r="Z10" s="656"/>
      <c r="AA10" s="656"/>
      <c r="AB10" s="656"/>
      <c r="AC10" s="656"/>
      <c r="AD10" s="656"/>
      <c r="AE10" s="656"/>
      <c r="AF10" s="656"/>
      <c r="AG10" s="656"/>
      <c r="AH10" s="656"/>
      <c r="AI10" s="656"/>
      <c r="AJ10" s="656"/>
      <c r="AK10" s="656"/>
      <c r="AL10" s="380"/>
      <c r="AM10" s="2311"/>
      <c r="AO10" s="1680"/>
      <c r="AP10" s="1680" t="str">
        <f>IF(T10="","",T10)</f>
        <v>Добавить вид теплоносителя (параметры теплоносителя)</v>
      </c>
      <c r="AQ10" s="1680"/>
      <c r="AR10" s="1680"/>
      <c r="AS10" s="1687">
        <v>0</v>
      </c>
    </row>
    <row customHeight="1" ht="15" hidden="1">
      <c r="A11" s="1323"/>
      <c r="B11" s="1323"/>
      <c r="C11" s="1323"/>
      <c r="D11" s="1323"/>
      <c r="E11" s="2346"/>
      <c r="F11" s="2346"/>
      <c r="G11" s="2346"/>
      <c r="H11" s="2346"/>
      <c r="I11" s="2183"/>
      <c r="J11" s="1323"/>
      <c r="K11" s="1323"/>
      <c r="L11" s="1366"/>
      <c r="M11" s="1691"/>
      <c r="P11" s="2313"/>
      <c r="Q11" s="2010"/>
      <c r="R11" s="412"/>
      <c r="S11" s="1334"/>
      <c r="T11" s="343" t="s">
        <v>544</v>
      </c>
      <c r="U11" s="656"/>
      <c r="V11" s="656"/>
      <c r="W11" s="656"/>
      <c r="X11" s="656"/>
      <c r="Y11" s="656"/>
      <c r="Z11" s="656"/>
      <c r="AA11" s="656"/>
      <c r="AB11" s="656"/>
      <c r="AC11" s="422"/>
      <c r="AD11" s="656"/>
      <c r="AE11" s="656"/>
      <c r="AF11" s="656"/>
      <c r="AG11" s="656"/>
      <c r="AH11" s="656"/>
      <c r="AI11" s="656"/>
      <c r="AJ11" s="656"/>
      <c r="AK11" s="422"/>
      <c r="AL11" s="656"/>
      <c r="AM11" s="359"/>
      <c r="AO11" s="1680"/>
      <c r="AP11" s="1680" t="str">
        <f>IF(T11="","",T11)</f>
        <v>Добавить группу потребителей</v>
      </c>
      <c r="AQ11" s="1680"/>
      <c r="AR11" s="1680"/>
      <c r="AS11" s="1687">
        <v>0</v>
      </c>
    </row>
    <row customHeight="1" ht="14.25" hidden="1">
      <c r="A12" s="1323"/>
      <c r="B12" s="1323"/>
      <c r="C12" s="1323"/>
      <c r="D12" s="1323"/>
      <c r="E12" s="2346"/>
      <c r="F12" s="2346"/>
      <c r="G12" s="2346"/>
      <c r="H12" s="2345"/>
      <c r="I12" s="1323"/>
      <c r="J12" s="1323"/>
      <c r="K12" s="1323"/>
      <c r="L12" s="1366"/>
      <c r="M12" s="1666"/>
      <c r="N12" s="1666"/>
      <c r="O12" s="1691"/>
      <c r="P12" s="416"/>
      <c r="Q12" s="431"/>
      <c r="R12" s="411"/>
      <c r="S12" s="1334"/>
      <c r="T12" s="421" t="s">
        <v>545</v>
      </c>
      <c r="U12" s="656"/>
      <c r="V12" s="656"/>
      <c r="W12" s="656"/>
      <c r="X12" s="656"/>
      <c r="Y12" s="656"/>
      <c r="Z12" s="656"/>
      <c r="AA12" s="656"/>
      <c r="AB12" s="656"/>
      <c r="AC12" s="422"/>
      <c r="AD12" s="656"/>
      <c r="AE12" s="656"/>
      <c r="AF12" s="656"/>
      <c r="AG12" s="656"/>
      <c r="AH12" s="656"/>
      <c r="AI12" s="656"/>
      <c r="AJ12" s="656"/>
      <c r="AK12" s="422"/>
      <c r="AL12" s="656"/>
      <c r="AM12" s="359"/>
      <c r="AO12" s="1680"/>
      <c r="AP12" s="1680" t="str">
        <f>IF(T12="","",T12)</f>
        <v>Добавить схему подключения</v>
      </c>
      <c r="AQ12" s="1680"/>
      <c r="AR12" s="1680"/>
      <c r="AS12" s="1687">
        <v>0</v>
      </c>
    </row>
    <row s="2851" customFormat="1" customHeight="1" ht="0.75" hidden="1">
      <c r="A13" s="1430"/>
      <c r="B13" s="1430"/>
      <c r="C13" s="1430"/>
      <c r="D13" s="1430"/>
      <c r="E13" s="2346"/>
      <c r="F13" s="2346"/>
      <c r="G13" s="2345"/>
      <c r="H13" s="1430"/>
      <c r="I13" s="1430"/>
      <c r="J13" s="1430"/>
      <c r="K13" s="1430"/>
      <c r="L13" s="1433"/>
      <c r="M13" s="1434"/>
      <c r="N13" s="1434"/>
      <c r="O13" s="407"/>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1307"/>
      <c r="AP13" s="1307" t="str">
        <f>IF(T13="","",T13)</f>
        <v>Добавить источник для дифференциации</v>
      </c>
      <c r="AQ13" s="1307"/>
      <c r="AR13" s="1307"/>
      <c r="AS13" s="1698">
        <v>0</v>
      </c>
    </row>
    <row s="2851" customFormat="1" customHeight="1" ht="0.75" hidden="1">
      <c r="A14" s="1430"/>
      <c r="B14" s="1430"/>
      <c r="C14" s="1430"/>
      <c r="D14" s="1430"/>
      <c r="E14" s="2346"/>
      <c r="F14" s="2345"/>
      <c r="G14" s="1430"/>
      <c r="H14" s="1430"/>
      <c r="I14" s="1430"/>
      <c r="J14" s="1430"/>
      <c r="K14" s="1430"/>
      <c r="L14" s="1433"/>
      <c r="M14" s="1435"/>
      <c r="N14" s="1435"/>
      <c r="O14" s="40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1307"/>
      <c r="AP14" s="1307" t="str">
        <f>IF(T14="","",T14)</f>
        <v>Добавить централизованную систему для дифференциации</v>
      </c>
      <c r="AQ14" s="1307"/>
      <c r="AR14" s="1307"/>
      <c r="AS14" s="1698">
        <v>0</v>
      </c>
    </row>
    <row s="2851" customFormat="1" customHeight="1" ht="0.75" hidden="1">
      <c r="A15" s="1430"/>
      <c r="B15" s="1430"/>
      <c r="C15" s="1430"/>
      <c r="D15" s="1430"/>
      <c r="E15" s="2345"/>
      <c r="F15" s="1430"/>
      <c r="G15" s="1430"/>
      <c r="H15" s="1430"/>
      <c r="I15" s="1430"/>
      <c r="J15" s="1430"/>
      <c r="K15" s="1430"/>
      <c r="L15" s="1433"/>
      <c r="M15" s="1435"/>
      <c r="N15" s="1435"/>
      <c r="O15" s="40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1307"/>
      <c r="AP15" s="1307" t="str">
        <f>IF(T15="","",T15)</f>
        <v>Добавить территорию для дифференциации</v>
      </c>
      <c r="AQ15" s="1307"/>
      <c r="AR15" s="1307"/>
      <c r="AS15" s="1698">
        <v>0</v>
      </c>
    </row>
    <row customHeight="1" ht="14.25" hidden="1">
      <c r="AS16" s="1687">
        <v>0</v>
      </c>
    </row>
    <row customHeight="1" ht="14.25" hidden="1">
      <c r="AD17" s="1416"/>
      <c r="AE17" s="1416"/>
      <c r="AF17" s="1416"/>
      <c r="AG17" s="1417"/>
      <c r="AH17" s="2323"/>
      <c r="AI17" s="2324" t="s">
        <v>65</v>
      </c>
      <c r="AJ17" s="2323"/>
      <c r="AK17" s="2324" t="s">
        <v>65</v>
      </c>
      <c r="AS17" s="1687">
        <v>0</v>
      </c>
    </row>
    <row customHeight="1" ht="14.25" hidden="1">
      <c r="AD18" s="1416"/>
      <c r="AE18" s="1416"/>
      <c r="AF18" s="1416"/>
      <c r="AG18" s="384" t="str">
        <f>AH17&amp;"-"&amp;AJ17</f>
        <v>-</v>
      </c>
      <c r="AH18" s="2324"/>
      <c r="AI18" s="2324"/>
      <c r="AJ18" s="2324"/>
      <c r="AK18" s="2324"/>
      <c r="AS18" s="1687">
        <v>0</v>
      </c>
    </row>
    <row customHeight="1" ht="14.25" hidden="1">
      <c r="AS19" s="1687">
        <v>0</v>
      </c>
    </row>
    <row s="2850" customFormat="1" customHeight="1" ht="14.25" hidden="1">
      <c r="A20" s="1687"/>
      <c r="B20" s="1687"/>
      <c r="C20" s="1687"/>
      <c r="D20" s="1687"/>
      <c r="E20" s="1687"/>
      <c r="F20" s="1687"/>
      <c r="G20" s="1687"/>
      <c r="H20" s="1687"/>
      <c r="I20" s="1687"/>
      <c r="J20" s="1687"/>
      <c r="K20" s="1687"/>
      <c r="L20" s="1995"/>
      <c r="M20" s="2021"/>
      <c r="N20" s="2021"/>
      <c r="O20" s="1401" t="s">
        <v>547</v>
      </c>
      <c r="P20" s="1418"/>
      <c r="Q20" s="1427"/>
      <c r="R20" s="1427"/>
      <c r="S20" s="785"/>
      <c r="Z20" s="1423"/>
      <c r="AB20" s="1423"/>
      <c r="AH20" s="1423"/>
      <c r="AJ20" s="1423"/>
      <c r="AN20" s="1692"/>
      <c r="AO20" s="1692"/>
      <c r="AP20" s="1692"/>
      <c r="AQ20" s="1692"/>
      <c r="AR20" s="1692"/>
      <c r="AS20" s="1422">
        <v>0</v>
      </c>
    </row>
    <row s="2850" customFormat="1" customHeight="1" ht="14.25" hidden="1">
      <c r="A21" s="1687"/>
      <c r="B21" s="1687"/>
      <c r="C21" s="1687"/>
      <c r="D21" s="1687"/>
      <c r="E21" s="1687"/>
      <c r="F21" s="1687"/>
      <c r="G21" s="1687"/>
      <c r="H21" s="1687"/>
      <c r="I21" s="1687"/>
      <c r="J21" s="1687"/>
      <c r="K21" s="1687"/>
      <c r="L21" s="1995"/>
      <c r="M21" s="2021"/>
      <c r="N21" s="2021"/>
      <c r="O21" s="2021"/>
      <c r="P21" s="1418"/>
      <c r="Q21" s="1427"/>
      <c r="R21" s="1427"/>
      <c r="S21" s="785"/>
      <c r="AN21" s="1692"/>
      <c r="AO21" s="1692"/>
      <c r="AP21" s="1692"/>
      <c r="AQ21" s="1692"/>
      <c r="AR21" s="1692"/>
      <c r="AS21" s="1422">
        <v>0</v>
      </c>
    </row>
    <row s="2850" customFormat="1" customHeight="1" ht="14.25" hidden="1">
      <c r="A22" s="1687"/>
      <c r="B22" s="1687"/>
      <c r="C22" s="1687"/>
      <c r="D22" s="1687"/>
      <c r="E22" s="1687"/>
      <c r="F22" s="1687"/>
      <c r="G22" s="1687"/>
      <c r="H22" s="1687"/>
      <c r="I22" s="1687"/>
      <c r="J22" s="1687"/>
      <c r="K22" s="1687"/>
      <c r="L22" s="1995"/>
      <c r="M22" s="2021"/>
      <c r="N22" s="2021"/>
      <c r="O22" s="1366" t="s">
        <v>548</v>
      </c>
      <c r="P22" s="1418"/>
      <c r="Q22" s="1427"/>
      <c r="R22" s="1427"/>
      <c r="S22" s="785"/>
      <c r="T22" s="1422" t="s">
        <v>549</v>
      </c>
      <c r="AA22" s="651" t="s">
        <v>550</v>
      </c>
      <c r="AC22" s="651" t="s">
        <v>551</v>
      </c>
      <c r="AD22" s="1422" t="s">
        <v>549</v>
      </c>
      <c r="AI22" s="651" t="s">
        <v>552</v>
      </c>
      <c r="AK22" s="651" t="s">
        <v>551</v>
      </c>
      <c r="AN22" s="1692"/>
      <c r="AO22" s="1692"/>
      <c r="AP22" s="1692"/>
      <c r="AQ22" s="1692"/>
      <c r="AR22" s="1692"/>
      <c r="AS22" s="1422">
        <v>0</v>
      </c>
    </row>
    <row customHeight="1" ht="14.25" hidden="1">
      <c r="O23" s="1366"/>
      <c r="AS23" s="1687">
        <v>0</v>
      </c>
    </row>
    <row customHeight="1" ht="14.25" hidden="1">
      <c r="O24" s="1366"/>
      <c r="AS24" s="1687">
        <v>0</v>
      </c>
    </row>
    <row customHeight="1" ht="14.699999999999998">
      <c r="Q25" s="432"/>
      <c r="R25" s="432"/>
      <c r="S25" s="1331"/>
      <c r="T25" s="513"/>
      <c r="U25" s="513"/>
      <c r="V25" s="1691"/>
      <c r="W25" s="1691"/>
      <c r="X25" s="1691"/>
      <c r="Y25" s="1691"/>
      <c r="Z25" s="1691"/>
      <c r="AA25" s="1691"/>
      <c r="AB25" s="1691"/>
      <c r="AC25" s="1691"/>
      <c r="AD25" s="1691"/>
      <c r="AE25" s="1691"/>
      <c r="AF25" s="1691"/>
      <c r="AG25" s="1691"/>
      <c r="AH25" s="1691"/>
      <c r="AI25" s="1691"/>
      <c r="AJ25" s="1691"/>
      <c r="AK25" s="1691"/>
      <c r="AS25" s="1687">
        <v>14</v>
      </c>
    </row>
    <row customHeight="1" ht="14.699999999999998">
      <c r="Q26" s="432"/>
      <c r="R26" s="432"/>
      <c r="S26" s="23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4"/>
      <c r="U26" s="2304"/>
      <c r="V26" s="2304"/>
      <c r="W26" s="2304"/>
      <c r="X26" s="2304"/>
      <c r="Y26" s="2304"/>
      <c r="Z26" s="2304"/>
      <c r="AA26" s="2304"/>
      <c r="AB26" s="2304"/>
      <c r="AC26" s="2304"/>
      <c r="AD26" s="2304"/>
      <c r="AE26" s="2304"/>
      <c r="AF26" s="2304"/>
      <c r="AG26" s="2304"/>
      <c r="AH26" s="2304"/>
      <c r="AI26" s="2304"/>
      <c r="AJ26" s="2304"/>
      <c r="AK26" s="1299"/>
      <c r="AS26" s="1687">
        <v>14</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687">
        <v>14</v>
      </c>
    </row>
    <row customHeight="1" ht="14.25" hidden="1">
      <c r="Q28" s="432"/>
      <c r="R28" s="432"/>
      <c r="S28" s="1331"/>
      <c r="T28" s="513"/>
      <c r="U28" s="513"/>
      <c r="V28" s="378"/>
      <c r="W28" s="378"/>
      <c r="X28" s="378"/>
      <c r="Y28" s="378"/>
      <c r="Z28" s="378"/>
      <c r="AA28" s="378"/>
      <c r="AB28" s="378"/>
      <c r="AC28" s="378"/>
      <c r="AD28" s="378"/>
      <c r="AE28" s="378"/>
      <c r="AF28" s="378"/>
      <c r="AG28" s="378"/>
      <c r="AH28" s="378"/>
      <c r="AI28" s="378"/>
      <c r="AJ28" s="378"/>
      <c r="AK28" s="378"/>
      <c r="AL28" s="1691"/>
      <c r="AS28" s="1687">
        <v>0</v>
      </c>
    </row>
    <row s="2983" customFormat="1" customHeight="1" ht="25.5" hidden="1">
      <c r="A29" s="1304"/>
      <c r="B29" s="1304"/>
      <c r="C29" s="1304"/>
      <c r="D29" s="1304"/>
      <c r="E29" s="1304"/>
      <c r="F29" s="1304"/>
      <c r="G29" s="1304"/>
      <c r="H29" s="1304"/>
      <c r="I29" s="1304"/>
      <c r="J29" s="1304"/>
      <c r="K29" s="1304"/>
      <c r="L29" s="1436"/>
      <c r="M29" s="1304"/>
      <c r="N29" s="1304"/>
      <c r="O29" s="130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1691"/>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1691"/>
      <c r="AL29" s="1691"/>
      <c r="AM29" s="336"/>
      <c r="AN29" s="424"/>
      <c r="AO29" s="424"/>
      <c r="AP29" s="424"/>
      <c r="AQ29" s="424"/>
      <c r="AR29" s="424"/>
      <c r="AS29" s="474">
        <v>0</v>
      </c>
    </row>
    <row s="2983" customFormat="1" customHeight="1" ht="18.75" hidden="1">
      <c r="A30" s="1304"/>
      <c r="B30" s="1304"/>
      <c r="C30" s="1304"/>
      <c r="D30" s="1304"/>
      <c r="E30" s="1304"/>
      <c r="F30" s="1304"/>
      <c r="G30" s="1304"/>
      <c r="H30" s="1304"/>
      <c r="I30" s="1304"/>
      <c r="J30" s="1304"/>
      <c r="K30" s="1304"/>
      <c r="L30" s="1436"/>
      <c r="M30" s="1304"/>
      <c r="N30" s="1304"/>
      <c r="O30" s="1304"/>
      <c r="S30" s="2306" t="s">
        <v>553</v>
      </c>
      <c r="T30" s="2306"/>
      <c r="U30" s="1428"/>
      <c r="V30" s="2320" t="str">
        <f>IF(TITLE_DATE_PR_CHANGE="",IF(TITLE_DATE_PR="","",TITLE_DATE_PR),TITLE_DATE_PR_CHANGE)</f>
        <v>45645</v>
      </c>
      <c r="W30" s="2320"/>
      <c r="X30" s="2320"/>
      <c r="Y30" s="2320"/>
      <c r="Z30" s="2320"/>
      <c r="AA30" s="2320"/>
      <c r="AB30" s="2320"/>
      <c r="AC30" s="1691"/>
      <c r="AD30" s="2320" t="str">
        <f>IF(TITLE_DATE_PR_CHANGE="",IF(TITLE_DATE_PR="","",TITLE_DATE_PR),TITLE_DATE_PR_CHANGE)</f>
        <v>45645</v>
      </c>
      <c r="AE30" s="2320"/>
      <c r="AF30" s="2320"/>
      <c r="AG30" s="2320"/>
      <c r="AH30" s="2320"/>
      <c r="AI30" s="2320"/>
      <c r="AJ30" s="2320"/>
      <c r="AK30" s="1691"/>
      <c r="AL30" s="1691"/>
      <c r="AM30" s="336"/>
      <c r="AN30" s="424"/>
      <c r="AO30" s="424"/>
      <c r="AP30" s="424"/>
      <c r="AQ30" s="424"/>
      <c r="AR30" s="424"/>
      <c r="AS30" s="474">
        <v>0</v>
      </c>
    </row>
    <row s="2983" customFormat="1" customHeight="1" ht="18.75" hidden="1">
      <c r="A31" s="1304"/>
      <c r="B31" s="1304"/>
      <c r="C31" s="1304"/>
      <c r="D31" s="1304"/>
      <c r="E31" s="1304"/>
      <c r="F31" s="1304"/>
      <c r="G31" s="1304"/>
      <c r="H31" s="1304"/>
      <c r="I31" s="1304"/>
      <c r="J31" s="1304"/>
      <c r="K31" s="1304"/>
      <c r="L31" s="1436"/>
      <c r="M31" s="1304"/>
      <c r="N31" s="1304"/>
      <c r="O31" s="1304"/>
      <c r="S31" s="2306" t="s">
        <v>554</v>
      </c>
      <c r="T31" s="2306"/>
      <c r="U31" s="1428"/>
      <c r="V31" s="2307" t="str">
        <f>IF(TITLE_NUMBER_PR_CHANGE="",IF(TITLE_NUMBER_PR="","",TITLE_NUMBER_PR),TITLE_NUMBER_PR_CHANGE)</f>
        <v>208-вод</v>
      </c>
      <c r="W31" s="2307"/>
      <c r="X31" s="2307"/>
      <c r="Y31" s="2307"/>
      <c r="Z31" s="2307"/>
      <c r="AA31" s="2307"/>
      <c r="AB31" s="2307"/>
      <c r="AC31" s="1691"/>
      <c r="AD31" s="2307" t="str">
        <f>IF(TITLE_NUMBER_PR_CHANGE="",IF(TITLE_NUMBER_PR="","",TITLE_NUMBER_PR),TITLE_NUMBER_PR_CHANGE)</f>
        <v>208-вод</v>
      </c>
      <c r="AE31" s="2307"/>
      <c r="AF31" s="2307"/>
      <c r="AG31" s="2307"/>
      <c r="AH31" s="2307"/>
      <c r="AI31" s="2307"/>
      <c r="AJ31" s="2307"/>
      <c r="AK31" s="1691"/>
      <c r="AL31" s="1691"/>
      <c r="AM31" s="336"/>
      <c r="AN31" s="424"/>
      <c r="AO31" s="424"/>
      <c r="AP31" s="424"/>
      <c r="AQ31" s="424"/>
      <c r="AR31" s="424"/>
      <c r="AS31" s="474">
        <v>0</v>
      </c>
    </row>
    <row s="2983" customFormat="1" customHeight="1" ht="18.75" hidden="1">
      <c r="A32" s="1304"/>
      <c r="B32" s="1304"/>
      <c r="C32" s="1304"/>
      <c r="D32" s="1304"/>
      <c r="E32" s="1304"/>
      <c r="F32" s="1304"/>
      <c r="G32" s="1304"/>
      <c r="H32" s="1304"/>
      <c r="I32" s="1304"/>
      <c r="J32" s="1304"/>
      <c r="K32" s="1304"/>
      <c r="L32" s="1436"/>
      <c r="M32" s="1304"/>
      <c r="N32" s="1304"/>
      <c r="O32" s="130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1691"/>
      <c r="AD32" s="2307" t="str">
        <f>IF(TITLE_IST_PUB_CHANGE="",IF(TITLE_IST_PUB="","",TITLE_IST_PUB),TITLE_IST_PUB_CHANGE)</f>
        <v>Газета "Курская правда" №155 от 26.12.2024 г.</v>
      </c>
      <c r="AE32" s="2307"/>
      <c r="AF32" s="2307"/>
      <c r="AG32" s="2307"/>
      <c r="AH32" s="2307"/>
      <c r="AI32" s="2307"/>
      <c r="AJ32" s="2307"/>
      <c r="AK32" s="1691"/>
      <c r="AL32" s="1691"/>
      <c r="AM32" s="336"/>
      <c r="AN32" s="424"/>
      <c r="AO32" s="424"/>
      <c r="AP32" s="424"/>
      <c r="AQ32" s="424"/>
      <c r="AR32" s="424"/>
      <c r="AS32" s="474">
        <v>0</v>
      </c>
    </row>
    <row customHeight="1" ht="14.25" hidden="1">
      <c r="Q33" s="432"/>
      <c r="R33" s="432"/>
      <c r="S33" s="1331"/>
      <c r="T33" s="513"/>
      <c r="U33" s="513"/>
      <c r="V33" s="378"/>
      <c r="W33" s="378"/>
      <c r="X33" s="378"/>
      <c r="Y33" s="378"/>
      <c r="Z33" s="378"/>
      <c r="AA33" s="378"/>
      <c r="AB33" s="378"/>
      <c r="AC33" s="378"/>
      <c r="AD33" s="378"/>
      <c r="AE33" s="378"/>
      <c r="AF33" s="378"/>
      <c r="AG33" s="378"/>
      <c r="AH33" s="378"/>
      <c r="AI33" s="378"/>
      <c r="AJ33" s="378"/>
      <c r="AK33" s="378"/>
      <c r="AL33" s="1691"/>
      <c r="AS33" s="1687">
        <v>0</v>
      </c>
    </row>
    <row s="2983" customFormat="1" customHeight="1" ht="18.75" hidden="1">
      <c r="A34" s="1304"/>
      <c r="B34" s="1304"/>
      <c r="C34" s="1304"/>
      <c r="D34" s="1304"/>
      <c r="E34" s="1304"/>
      <c r="F34" s="1304"/>
      <c r="G34" s="1304"/>
      <c r="H34" s="1304"/>
      <c r="I34" s="1304"/>
      <c r="J34" s="1304"/>
      <c r="K34" s="1304"/>
      <c r="L34" s="1436"/>
      <c r="M34" s="1304"/>
      <c r="N34" s="1304"/>
      <c r="O34" s="1304"/>
      <c r="S34" s="2306" t="s">
        <v>555</v>
      </c>
      <c r="T34" s="2306"/>
      <c r="U34" s="1428"/>
      <c r="V34" s="2320" t="str">
        <f>IF(TITLE_DATE_PR_CHANGE="",IF(TITLE_DATE_PR="","",TITLE_DATE_PR),TITLE_DATE_PR_CHANGE)</f>
        <v>45645</v>
      </c>
      <c r="W34" s="2320"/>
      <c r="X34" s="2320"/>
      <c r="Y34" s="2320"/>
      <c r="Z34" s="2320"/>
      <c r="AA34" s="2320"/>
      <c r="AB34" s="2320"/>
      <c r="AC34" s="1691"/>
      <c r="AD34" s="2320" t="str">
        <f>IF(TITLE_DATE_PR_CHANGE="",IF(TITLE_DATE_PR="","",TITLE_DATE_PR),TITLE_DATE_PR_CHANGE)</f>
        <v>45645</v>
      </c>
      <c r="AE34" s="2320"/>
      <c r="AF34" s="2320"/>
      <c r="AG34" s="2320"/>
      <c r="AH34" s="2320"/>
      <c r="AI34" s="2320"/>
      <c r="AJ34" s="2320"/>
      <c r="AK34" s="1691"/>
      <c r="AL34" s="1691"/>
      <c r="AM34" s="336"/>
      <c r="AN34" s="424"/>
      <c r="AO34" s="424"/>
      <c r="AP34" s="424"/>
      <c r="AQ34" s="424"/>
      <c r="AR34" s="424"/>
      <c r="AS34" s="474">
        <v>0</v>
      </c>
    </row>
    <row s="2983" customFormat="1" customHeight="1" ht="18.75" hidden="1">
      <c r="A35" s="1304"/>
      <c r="B35" s="1304"/>
      <c r="C35" s="1304"/>
      <c r="D35" s="1304"/>
      <c r="E35" s="1304"/>
      <c r="F35" s="1304"/>
      <c r="G35" s="1304"/>
      <c r="H35" s="1304"/>
      <c r="I35" s="1304"/>
      <c r="J35" s="1304"/>
      <c r="K35" s="1304"/>
      <c r="L35" s="1436"/>
      <c r="M35" s="1304"/>
      <c r="N35" s="1304"/>
      <c r="O35" s="1304"/>
      <c r="S35" s="2306" t="s">
        <v>556</v>
      </c>
      <c r="T35" s="2306"/>
      <c r="U35" s="1428"/>
      <c r="V35" s="2307" t="str">
        <f>IF(TITLE_NUMBER_PR_CHANGE="",IF(TITLE_NUMBER_PR="","",TITLE_NUMBER_PR),TITLE_NUMBER_PR_CHANGE)</f>
        <v>208-вод</v>
      </c>
      <c r="W35" s="2307"/>
      <c r="X35" s="2307"/>
      <c r="Y35" s="2307"/>
      <c r="Z35" s="2307"/>
      <c r="AA35" s="2307"/>
      <c r="AB35" s="2307"/>
      <c r="AC35" s="1691"/>
      <c r="AD35" s="2307" t="str">
        <f>IF(TITLE_NUMBER_PR_CHANGE="",IF(TITLE_NUMBER_PR="","",TITLE_NUMBER_PR),TITLE_NUMBER_PR_CHANGE)</f>
        <v>208-вод</v>
      </c>
      <c r="AE35" s="2307"/>
      <c r="AF35" s="2307"/>
      <c r="AG35" s="2307"/>
      <c r="AH35" s="2307"/>
      <c r="AI35" s="2307"/>
      <c r="AJ35" s="2307"/>
      <c r="AK35" s="1691"/>
      <c r="AL35" s="1691"/>
      <c r="AM35" s="336"/>
      <c r="AN35" s="424"/>
      <c r="AO35" s="424"/>
      <c r="AP35" s="424"/>
      <c r="AQ35" s="424"/>
      <c r="AR35" s="424"/>
      <c r="AS35" s="474">
        <v>0</v>
      </c>
    </row>
    <row s="2983" customFormat="1" customHeight="1" ht="0">
      <c r="A36" s="1304"/>
      <c r="B36" s="1304"/>
      <c r="C36" s="1304"/>
      <c r="D36" s="1304"/>
      <c r="E36" s="1304"/>
      <c r="F36" s="1304"/>
      <c r="G36" s="1304"/>
      <c r="H36" s="1304"/>
      <c r="I36" s="1304"/>
      <c r="J36" s="1304"/>
      <c r="K36" s="1304"/>
      <c r="L36" s="1436"/>
      <c r="M36" s="1304"/>
      <c r="N36" s="1304"/>
      <c r="O36" s="1304"/>
      <c r="S36" s="1691"/>
      <c r="T36" s="1691"/>
      <c r="U36" s="2026"/>
      <c r="V36" s="1691"/>
      <c r="W36" s="1691"/>
      <c r="X36" s="1691"/>
      <c r="Y36" s="1691"/>
      <c r="Z36" s="1691"/>
      <c r="AA36" s="1691"/>
      <c r="AB36" s="1691"/>
      <c r="AC36" s="1698" t="s">
        <v>557</v>
      </c>
      <c r="AD36" s="1691"/>
      <c r="AE36" s="1691"/>
      <c r="AF36" s="1691"/>
      <c r="AG36" s="1691"/>
      <c r="AH36" s="1691"/>
      <c r="AI36" s="1691"/>
      <c r="AJ36" s="1691"/>
      <c r="AK36" s="1698" t="s">
        <v>557</v>
      </c>
      <c r="AN36" s="424"/>
      <c r="AO36" s="424"/>
      <c r="AP36" s="424"/>
      <c r="AQ36" s="424"/>
      <c r="AR36" s="424"/>
      <c r="AS36" s="474">
        <v>0</v>
      </c>
    </row>
    <row customHeight="1" ht="14.699999999999998">
      <c r="Q37" s="432"/>
      <c r="R37" s="432"/>
      <c r="S37" s="1331"/>
      <c r="T37" s="513"/>
      <c r="U37" s="1300"/>
      <c r="V37" s="2308"/>
      <c r="W37" s="2308"/>
      <c r="X37" s="2308"/>
      <c r="Y37" s="2308"/>
      <c r="Z37" s="2308"/>
      <c r="AA37" s="2308"/>
      <c r="AB37" s="2308"/>
      <c r="AC37" s="2308"/>
      <c r="AD37" s="2308"/>
      <c r="AE37" s="2308"/>
      <c r="AF37" s="2308"/>
      <c r="AG37" s="2308"/>
      <c r="AH37" s="2308"/>
      <c r="AI37" s="2308"/>
      <c r="AJ37" s="2308"/>
      <c r="AK37" s="2308"/>
      <c r="AS37" s="1687">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687">
        <v>14</v>
      </c>
    </row>
    <row customHeight="1" ht="14.699999999999998">
      <c r="Q39" s="432"/>
      <c r="R39" s="432"/>
      <c r="S39" s="2329" t="s">
        <v>92</v>
      </c>
      <c r="T39" s="2265" t="s">
        <v>558</v>
      </c>
      <c r="U39" s="393"/>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687">
        <v>14</v>
      </c>
    </row>
    <row customHeight="1" ht="35.699999999999996">
      <c r="Q40" s="432"/>
      <c r="R40" s="432"/>
      <c r="S40" s="2329"/>
      <c r="T40" s="2265"/>
      <c r="U40" s="1087"/>
      <c r="V40" s="2316" t="s">
        <v>563</v>
      </c>
      <c r="W40" s="2339" t="s">
        <v>564</v>
      </c>
      <c r="X40" s="2318" t="s">
        <v>565</v>
      </c>
      <c r="Y40" s="2319"/>
      <c r="Z40" s="2318" t="s">
        <v>578</v>
      </c>
      <c r="AA40" s="2325"/>
      <c r="AB40" s="2319"/>
      <c r="AC40" s="2334"/>
      <c r="AD40" s="2316" t="s">
        <v>563</v>
      </c>
      <c r="AE40" s="2339" t="s">
        <v>564</v>
      </c>
      <c r="AF40" s="2318" t="s">
        <v>565</v>
      </c>
      <c r="AG40" s="2319"/>
      <c r="AH40" s="2318" t="s">
        <v>566</v>
      </c>
      <c r="AI40" s="2325"/>
      <c r="AJ40" s="2319"/>
      <c r="AK40" s="2334"/>
      <c r="AL40" s="2337"/>
      <c r="AM40" s="2183"/>
      <c r="AS40" s="1687">
        <v>34</v>
      </c>
    </row>
    <row customHeight="1" ht="35.699999999999996">
      <c r="A41" s="1322"/>
      <c r="B41" s="1322" t="s">
        <v>214</v>
      </c>
      <c r="C41" s="1322" t="s">
        <v>215</v>
      </c>
      <c r="D41" s="1322" t="s">
        <v>216</v>
      </c>
      <c r="E41" s="1366" t="s">
        <v>567</v>
      </c>
      <c r="F41" s="1366" t="s">
        <v>568</v>
      </c>
      <c r="G41" s="1366" t="s">
        <v>569</v>
      </c>
      <c r="H41" s="1366" t="s">
        <v>570</v>
      </c>
      <c r="I41" s="1366" t="s">
        <v>571</v>
      </c>
      <c r="J41" s="1366" t="s">
        <v>572</v>
      </c>
      <c r="K41" s="1366" t="s">
        <v>573</v>
      </c>
      <c r="L41" s="1366" t="s">
        <v>548</v>
      </c>
      <c r="Q41" s="432"/>
      <c r="R41" s="432"/>
      <c r="S41" s="2329"/>
      <c r="T41" s="2265"/>
      <c r="U41" s="358"/>
      <c r="V41" s="2317"/>
      <c r="W41" s="2340"/>
      <c r="X41" s="1994" t="s">
        <v>574</v>
      </c>
      <c r="Y41" s="1994" t="s">
        <v>575</v>
      </c>
      <c r="Z41" s="1994" t="s">
        <v>576</v>
      </c>
      <c r="AA41" s="2326" t="s">
        <v>577</v>
      </c>
      <c r="AB41" s="2327"/>
      <c r="AC41" s="2335"/>
      <c r="AD41" s="2317"/>
      <c r="AE41" s="2340"/>
      <c r="AF41" s="1994" t="s">
        <v>574</v>
      </c>
      <c r="AG41" s="1994" t="s">
        <v>575</v>
      </c>
      <c r="AH41" s="1994" t="s">
        <v>576</v>
      </c>
      <c r="AI41" s="2326" t="s">
        <v>577</v>
      </c>
      <c r="AJ41" s="2327"/>
      <c r="AK41" s="2335"/>
      <c r="AL41" s="2338"/>
      <c r="AM41" s="2183"/>
      <c r="AS41" s="1687">
        <v>34</v>
      </c>
    </row>
    <row s="3442" customFormat="1" customHeight="1" ht="11.25" hidden="1">
      <c r="A42" s="1322"/>
      <c r="B42" s="1322"/>
      <c r="C42" s="1322"/>
      <c r="D42" s="1322"/>
      <c r="E42" s="1322"/>
      <c r="F42" s="1322"/>
      <c r="G42" s="1322"/>
      <c r="H42" s="1322"/>
      <c r="I42" s="1322"/>
      <c r="J42" s="1322"/>
      <c r="K42" s="1322"/>
      <c r="L42" s="1366"/>
      <c r="M42" s="2021"/>
      <c r="N42" s="2021"/>
      <c r="O42" s="2021"/>
      <c r="P42" s="1302"/>
      <c r="Q42" s="1303"/>
      <c r="R42" s="1310">
        <v>1</v>
      </c>
      <c r="S42" s="1333" t="s">
        <v>191</v>
      </c>
      <c r="T42" s="1311" t="s">
        <v>108</v>
      </c>
      <c r="U42" s="1301" t="str">
        <f>OFFSET(U42,0,-1)</f>
        <v>2</v>
      </c>
      <c r="V42" s="2012">
        <f>OFFSET(V42,0,-1)+1</f>
        <v>3</v>
      </c>
      <c r="W42" s="2012"/>
      <c r="X42" s="2012">
        <f>OFFSET(X42,0,-1)+1</f>
        <v>1</v>
      </c>
      <c r="Y42" s="2012">
        <f>OFFSET(Y42,0,-1)+1</f>
        <v>2</v>
      </c>
      <c r="Z42" s="2012">
        <f>OFFSET(Z42,0,-1)+1</f>
        <v>3</v>
      </c>
      <c r="AA42" s="2328">
        <f>OFFSET(AA42,0,-1)+1</f>
        <v>4</v>
      </c>
      <c r="AB42" s="2328"/>
      <c r="AC42" s="2012">
        <f>OFFSET(AC42,0,-2)+1</f>
        <v>5</v>
      </c>
      <c r="AD42" s="2012">
        <f>OFFSET(AD42,0,-1)+1</f>
        <v>6</v>
      </c>
      <c r="AE42" s="2012"/>
      <c r="AF42" s="2012">
        <f>OFFSET(AF42,0,-1)+1</f>
        <v>1</v>
      </c>
      <c r="AG42" s="2012">
        <f>OFFSET(AG42,0,-1)+1</f>
        <v>2</v>
      </c>
      <c r="AH42" s="2012">
        <f>OFFSET(AH42,0,-1)+1</f>
        <v>3</v>
      </c>
      <c r="AI42" s="2328">
        <f>OFFSET(AI42,0,-1)+1</f>
        <v>4</v>
      </c>
      <c r="AJ42" s="2328"/>
      <c r="AK42" s="2012">
        <f>OFFSET(AK42,0,-2)+1</f>
        <v>5</v>
      </c>
      <c r="AL42" s="1301">
        <f>OFFSET(AL42,0,-1)</f>
        <v>5</v>
      </c>
      <c r="AM42" s="2012">
        <f>OFFSET(AM42,0,-1)+1</f>
        <v>6</v>
      </c>
      <c r="AN42" s="1692"/>
      <c r="AO42" s="1692"/>
      <c r="AP42" s="1692"/>
      <c r="AQ42" s="1692"/>
      <c r="AR42" s="1692"/>
      <c r="AS42" s="1697">
        <v>0</v>
      </c>
    </row>
    <row customHeight="1" ht="22.049999999999997">
      <c r="A43" s="1323" t="s">
        <v>283</v>
      </c>
      <c r="B43" s="1323"/>
      <c r="C43" s="1323"/>
      <c r="D43" s="1323"/>
      <c r="E43" s="2345">
        <v>1</v>
      </c>
      <c r="F43" s="1323"/>
      <c r="G43" s="1323"/>
      <c r="H43" s="1323"/>
      <c r="I43" s="1323"/>
      <c r="J43" s="1323"/>
      <c r="K43" s="1323"/>
      <c r="L43" s="1366"/>
      <c r="M43" s="1666"/>
      <c r="N43" s="1666"/>
      <c r="O43" s="1666"/>
      <c r="P43" s="1646"/>
      <c r="Q43" s="416"/>
      <c r="R43" s="411"/>
      <c r="S43" s="2014">
        <f>INDEX(PT_DIFFERENTIATION_NUM_NTAR,MATCH(A43,PT_DIFFERENTIATION_NTAR_ID,0))</f>
        <v>0</v>
      </c>
      <c r="T43" s="1581"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80"/>
      <c r="AP43" s="1680" t="str">
        <f>IF(T43="","",T43)</f>
        <v>Наименование тарифа</v>
      </c>
      <c r="AQ43" s="1680"/>
      <c r="AR43" s="1680"/>
      <c r="AS43" s="1687">
        <v>21</v>
      </c>
    </row>
    <row customHeight="1" ht="22.049999999999997">
      <c r="A44" s="1323" t="s">
        <v>283</v>
      </c>
      <c r="B44" s="1323" t="s">
        <v>284</v>
      </c>
      <c r="C44" s="1323"/>
      <c r="D44" s="1323"/>
      <c r="E44" s="2346"/>
      <c r="F44" s="2345">
        <v>1</v>
      </c>
      <c r="G44" s="1323"/>
      <c r="H44" s="1323"/>
      <c r="I44" s="1323"/>
      <c r="J44" s="1323"/>
      <c r="K44" s="1323"/>
      <c r="L44" s="1366"/>
      <c r="M44" s="1666"/>
      <c r="N44" s="1666"/>
      <c r="O44" s="1666"/>
      <c r="P44" s="1996"/>
      <c r="Q44" s="408"/>
      <c r="R44" s="409"/>
      <c r="S44" s="2014" t="str">
        <f>INDEX(PT_DIFFERENTIATION_NUM_TER,MATCH(B44,PT_DIFFERENTIATION_TER_ID,0))</f>
        <v>.</v>
      </c>
      <c r="T44" s="1578"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1680"/>
      <c r="AP44" s="1680" t="str">
        <f>IF(T44="","",T44)</f>
        <v>Территория действия тарифа</v>
      </c>
      <c r="AQ44" s="1680"/>
      <c r="AR44" s="1680"/>
      <c r="AS44" s="1687">
        <v>21</v>
      </c>
    </row>
    <row customHeight="1" ht="24">
      <c r="A45" s="1323" t="s">
        <v>283</v>
      </c>
      <c r="B45" s="1323" t="s">
        <v>284</v>
      </c>
      <c r="C45" s="1323" t="s">
        <v>285</v>
      </c>
      <c r="D45" s="1323"/>
      <c r="E45" s="2346"/>
      <c r="F45" s="2346"/>
      <c r="G45" s="2345">
        <v>1</v>
      </c>
      <c r="H45" s="1323"/>
      <c r="I45" s="1323"/>
      <c r="J45" s="1323"/>
      <c r="K45" s="1323"/>
      <c r="L45" s="1366"/>
      <c r="M45" s="1666"/>
      <c r="N45" s="1666"/>
      <c r="O45" s="1666"/>
      <c r="P45" s="410"/>
      <c r="Q45" s="408"/>
      <c r="R45" s="409"/>
      <c r="S45" s="2014"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1680"/>
      <c r="AP45" s="1680" t="str">
        <f>IF(T45="","",T45)</f>
        <v>Наименование системы теплоснабжения </v>
      </c>
      <c r="AQ45" s="1680"/>
      <c r="AR45" s="1680"/>
      <c r="AS45" s="1687">
        <v>23</v>
      </c>
    </row>
    <row customHeight="1" ht="22.049999999999997">
      <c r="A46" s="1323" t="s">
        <v>283</v>
      </c>
      <c r="B46" s="1323" t="s">
        <v>284</v>
      </c>
      <c r="C46" s="1323" t="s">
        <v>285</v>
      </c>
      <c r="D46" s="1323" t="s">
        <v>286</v>
      </c>
      <c r="E46" s="2346"/>
      <c r="F46" s="2346"/>
      <c r="G46" s="2346"/>
      <c r="H46" s="2345">
        <v>1</v>
      </c>
      <c r="I46" s="1323"/>
      <c r="J46" s="1323"/>
      <c r="K46" s="1323"/>
      <c r="L46" s="1366"/>
      <c r="M46" s="1666"/>
      <c r="N46" s="1666"/>
      <c r="O46" s="1666"/>
      <c r="P46" s="410"/>
      <c r="Q46" s="408"/>
      <c r="R46" s="409"/>
      <c r="S46" s="2014"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1680"/>
      <c r="AP46" s="1680" t="str">
        <f>IF(T46="","",T46)</f>
        <v>Источник тепловой энергии  </v>
      </c>
      <c r="AQ46" s="1680"/>
      <c r="AR46" s="1680"/>
      <c r="AS46" s="1687">
        <v>21</v>
      </c>
    </row>
    <row customHeight="1" ht="49.5">
      <c r="A47" s="1323" t="s">
        <v>283</v>
      </c>
      <c r="B47" s="1323" t="s">
        <v>284</v>
      </c>
      <c r="C47" s="1323" t="s">
        <v>285</v>
      </c>
      <c r="D47" s="1323" t="s">
        <v>286</v>
      </c>
      <c r="E47" s="2346"/>
      <c r="F47" s="2346"/>
      <c r="G47" s="2346"/>
      <c r="H47" s="2346"/>
      <c r="I47" s="2183" t="str">
        <f>S46&amp;".1"</f>
        <v>....1</v>
      </c>
      <c r="J47" s="1323"/>
      <c r="K47" s="1323"/>
      <c r="L47" s="1366" t="s">
        <v>535</v>
      </c>
      <c r="P47" s="2313">
        <v>1</v>
      </c>
      <c r="Q47" s="2010"/>
      <c r="R47" s="412"/>
      <c r="S47" s="2014" t="str">
        <f>$I47</f>
        <v>....1</v>
      </c>
      <c r="T47" s="341" t="s">
        <v>536</v>
      </c>
      <c r="U47" s="356"/>
      <c r="V47" s="2301"/>
      <c r="W47" s="2302"/>
      <c r="X47" s="2302"/>
      <c r="Y47" s="2302"/>
      <c r="Z47" s="2302"/>
      <c r="AA47" s="2302"/>
      <c r="AB47" s="2302"/>
      <c r="AC47" s="2303"/>
      <c r="AD47" s="2301"/>
      <c r="AE47" s="2302"/>
      <c r="AF47" s="2302"/>
      <c r="AG47" s="2302"/>
      <c r="AH47" s="2302"/>
      <c r="AI47" s="2302"/>
      <c r="AJ47" s="2302"/>
      <c r="AK47" s="2302"/>
      <c r="AL47" s="2303"/>
      <c r="AM47" s="1314" t="s">
        <v>537</v>
      </c>
      <c r="AO47" s="1680"/>
      <c r="AP47" s="1680" t="str">
        <f>IF(T47="","",T47)</f>
        <v>Схема подключения теплопотребляющей установки к коллектору источника тепловой энергии</v>
      </c>
      <c r="AQ47" s="1680"/>
      <c r="AR47" s="1680"/>
      <c r="AS47" s="1687">
        <v>47</v>
      </c>
    </row>
    <row customHeight="1" ht="22.049999999999997">
      <c r="A48" s="1323" t="s">
        <v>283</v>
      </c>
      <c r="B48" s="1323" t="s">
        <v>284</v>
      </c>
      <c r="C48" s="1323" t="s">
        <v>285</v>
      </c>
      <c r="D48" s="1323" t="s">
        <v>286</v>
      </c>
      <c r="E48" s="2346"/>
      <c r="F48" s="2346"/>
      <c r="G48" s="2346"/>
      <c r="H48" s="2346"/>
      <c r="I48" s="2157"/>
      <c r="J48" s="2183" t="str">
        <f>I47&amp;".1"</f>
        <v>....1.1</v>
      </c>
      <c r="K48" s="1323"/>
      <c r="L48" s="1366" t="s">
        <v>538</v>
      </c>
      <c r="P48" s="2313"/>
      <c r="Q48" s="2313">
        <v>1</v>
      </c>
      <c r="R48" s="413"/>
      <c r="S48" s="2014" t="str">
        <f>$J48</f>
        <v>....1.1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1680"/>
      <c r="AP48" s="1680" t="str">
        <f>IF(T48="","",T48)</f>
        <v>Группа потребителей</v>
      </c>
      <c r="AQ48" s="1680"/>
      <c r="AR48" s="1680"/>
      <c r="AS48" s="1687">
        <v>21</v>
      </c>
    </row>
    <row customHeight="1" ht="22.049999999999997">
      <c r="A49" s="1323" t="s">
        <v>283</v>
      </c>
      <c r="B49" s="1323" t="s">
        <v>284</v>
      </c>
      <c r="C49" s="1323" t="s">
        <v>285</v>
      </c>
      <c r="D49" s="1323" t="s">
        <v>286</v>
      </c>
      <c r="E49" s="2346"/>
      <c r="F49" s="2346"/>
      <c r="G49" s="2346"/>
      <c r="H49" s="2346"/>
      <c r="I49" s="2157"/>
      <c r="J49" s="2157"/>
      <c r="K49" s="2183" t="str">
        <f>J48&amp;".1"</f>
        <v>....1.1.1</v>
      </c>
      <c r="L49" s="1366" t="s">
        <v>541</v>
      </c>
      <c r="P49" s="2313"/>
      <c r="Q49" s="2313"/>
      <c r="R49" s="413">
        <v>1</v>
      </c>
      <c r="S49" s="2014" t="str">
        <f>$K49</f>
        <v>....1.1.1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542</v>
      </c>
      <c r="AN49" s="1692">
        <f>STRCHECKDATE(V50:AL50)</f>
      </c>
      <c r="AO49" s="1680"/>
      <c r="AP49" s="1680" t="str">
        <f>IF(T49="","",T49)</f>
        <v/>
      </c>
      <c r="AQ49" s="1680"/>
      <c r="AR49" s="1680"/>
      <c r="AS49" s="1687">
        <v>21</v>
      </c>
    </row>
    <row customHeight="1" ht="1.05">
      <c r="A50" s="1323" t="s">
        <v>283</v>
      </c>
      <c r="B50" s="1323" t="s">
        <v>284</v>
      </c>
      <c r="C50" s="1323" t="s">
        <v>285</v>
      </c>
      <c r="D50" s="1323" t="s">
        <v>286</v>
      </c>
      <c r="E50" s="2346"/>
      <c r="F50" s="2346"/>
      <c r="G50" s="2346"/>
      <c r="H50" s="2346"/>
      <c r="I50" s="2157"/>
      <c r="J50" s="2157"/>
      <c r="K50" s="2183"/>
      <c r="L50" s="1366"/>
      <c r="P50" s="2313"/>
      <c r="Q50" s="2313"/>
      <c r="R50" s="413"/>
      <c r="S50" s="2023"/>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1680"/>
      <c r="AP50" s="1680" t="str">
        <f>IF(T50="","",T50)</f>
        <v/>
      </c>
      <c r="AQ50" s="1680"/>
      <c r="AR50" s="1680"/>
      <c r="AS50" s="1687">
        <v>1</v>
      </c>
    </row>
    <row customHeight="1" ht="11.549999999999999">
      <c r="A51" s="1323" t="s">
        <v>283</v>
      </c>
      <c r="B51" s="1323" t="s">
        <v>284</v>
      </c>
      <c r="C51" s="1323" t="s">
        <v>285</v>
      </c>
      <c r="D51" s="1323" t="s">
        <v>286</v>
      </c>
      <c r="E51" s="2346"/>
      <c r="F51" s="2346"/>
      <c r="G51" s="2346"/>
      <c r="H51" s="2346"/>
      <c r="I51" s="2157"/>
      <c r="J51" s="2183"/>
      <c r="K51" s="1323"/>
      <c r="L51" s="1366"/>
      <c r="P51" s="2313"/>
      <c r="Q51" s="2313"/>
      <c r="R51" s="412"/>
      <c r="S51" s="1334"/>
      <c r="T51" s="344" t="s">
        <v>543</v>
      </c>
      <c r="U51" s="656"/>
      <c r="V51" s="656"/>
      <c r="W51" s="656"/>
      <c r="X51" s="656"/>
      <c r="Y51" s="656"/>
      <c r="Z51" s="656"/>
      <c r="AA51" s="656"/>
      <c r="AB51" s="656"/>
      <c r="AC51" s="656"/>
      <c r="AD51" s="656"/>
      <c r="AE51" s="656"/>
      <c r="AF51" s="656"/>
      <c r="AG51" s="656"/>
      <c r="AH51" s="656"/>
      <c r="AI51" s="656"/>
      <c r="AJ51" s="656"/>
      <c r="AK51" s="656"/>
      <c r="AL51" s="380"/>
      <c r="AM51" s="2311"/>
      <c r="AO51" s="1680"/>
      <c r="AP51" s="1680" t="str">
        <f>IF(T51="","",T51)</f>
        <v>Добавить вид теплоносителя (параметры теплоносителя)</v>
      </c>
      <c r="AQ51" s="1680"/>
      <c r="AR51" s="1680"/>
      <c r="AS51" s="1687">
        <v>11</v>
      </c>
    </row>
    <row customHeight="1" ht="11.549999999999999">
      <c r="A52" s="1323" t="s">
        <v>283</v>
      </c>
      <c r="B52" s="1323" t="s">
        <v>284</v>
      </c>
      <c r="C52" s="1323" t="s">
        <v>285</v>
      </c>
      <c r="D52" s="1323" t="s">
        <v>286</v>
      </c>
      <c r="E52" s="2346"/>
      <c r="F52" s="2346"/>
      <c r="G52" s="2346"/>
      <c r="H52" s="2346"/>
      <c r="I52" s="2183"/>
      <c r="J52" s="1323"/>
      <c r="K52" s="1323"/>
      <c r="L52" s="1366"/>
      <c r="P52" s="2313"/>
      <c r="Q52" s="2010"/>
      <c r="R52" s="412"/>
      <c r="S52" s="1334"/>
      <c r="T52" s="343" t="s">
        <v>544</v>
      </c>
      <c r="U52" s="656"/>
      <c r="V52" s="656"/>
      <c r="W52" s="656"/>
      <c r="X52" s="656"/>
      <c r="Y52" s="656"/>
      <c r="Z52" s="656"/>
      <c r="AA52" s="656"/>
      <c r="AB52" s="656"/>
      <c r="AC52" s="422"/>
      <c r="AD52" s="656"/>
      <c r="AE52" s="656"/>
      <c r="AF52" s="656"/>
      <c r="AG52" s="656"/>
      <c r="AH52" s="656"/>
      <c r="AI52" s="656"/>
      <c r="AJ52" s="656"/>
      <c r="AK52" s="422"/>
      <c r="AL52" s="656"/>
      <c r="AM52" s="359"/>
      <c r="AO52" s="1680"/>
      <c r="AP52" s="1680" t="str">
        <f>IF(T52="","",T52)</f>
        <v>Добавить группу потребителей</v>
      </c>
      <c r="AQ52" s="1680"/>
      <c r="AR52" s="1680"/>
      <c r="AS52" s="1687">
        <v>11</v>
      </c>
    </row>
    <row customHeight="1" ht="14.699999999999998">
      <c r="A53" s="1323" t="s">
        <v>283</v>
      </c>
      <c r="B53" s="1323" t="s">
        <v>284</v>
      </c>
      <c r="C53" s="1323" t="s">
        <v>285</v>
      </c>
      <c r="D53" s="1323" t="s">
        <v>286</v>
      </c>
      <c r="E53" s="2346"/>
      <c r="F53" s="2346"/>
      <c r="G53" s="2346"/>
      <c r="H53" s="2345"/>
      <c r="I53" s="1323"/>
      <c r="J53" s="1323"/>
      <c r="K53" s="1323"/>
      <c r="L53" s="1366"/>
      <c r="M53" s="1666"/>
      <c r="N53" s="1666"/>
      <c r="O53" s="1691"/>
      <c r="P53" s="416"/>
      <c r="Q53" s="431"/>
      <c r="R53" s="411"/>
      <c r="S53" s="1334"/>
      <c r="T53" s="421" t="s">
        <v>545</v>
      </c>
      <c r="U53" s="656"/>
      <c r="V53" s="656"/>
      <c r="W53" s="656"/>
      <c r="X53" s="656"/>
      <c r="Y53" s="656"/>
      <c r="Z53" s="656"/>
      <c r="AA53" s="656"/>
      <c r="AB53" s="656"/>
      <c r="AC53" s="422"/>
      <c r="AD53" s="656"/>
      <c r="AE53" s="656"/>
      <c r="AF53" s="656"/>
      <c r="AG53" s="656"/>
      <c r="AH53" s="656"/>
      <c r="AI53" s="656"/>
      <c r="AJ53" s="656"/>
      <c r="AK53" s="422"/>
      <c r="AL53" s="656"/>
      <c r="AM53" s="359"/>
      <c r="AO53" s="1680"/>
      <c r="AP53" s="1680" t="str">
        <f>IF(T53="","",T53)</f>
        <v>Добавить схему подключения</v>
      </c>
      <c r="AQ53" s="1680"/>
      <c r="AR53" s="1680"/>
      <c r="AS53" s="1687">
        <v>14</v>
      </c>
    </row>
    <row s="2851" customFormat="1" customHeight="1" ht="4.2">
      <c r="A54" s="1431" t="s">
        <v>283</v>
      </c>
      <c r="B54" s="1431" t="s">
        <v>284</v>
      </c>
      <c r="C54" s="1431" t="s">
        <v>285</v>
      </c>
      <c r="D54" s="1430"/>
      <c r="E54" s="2346"/>
      <c r="F54" s="2346"/>
      <c r="G54" s="2345"/>
      <c r="H54" s="1430"/>
      <c r="I54" s="1430"/>
      <c r="J54" s="1430"/>
      <c r="K54" s="1430"/>
      <c r="L54" s="1433"/>
      <c r="M54" s="1434"/>
      <c r="N54" s="1434"/>
      <c r="O54" s="407"/>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1307"/>
      <c r="AP54" s="1307" t="str">
        <f>IF(T54="","",T54)</f>
        <v>Добавить источник для дифференциации</v>
      </c>
      <c r="AQ54" s="1307"/>
      <c r="AR54" s="1307"/>
      <c r="AS54" s="1698">
        <v>4</v>
      </c>
    </row>
    <row s="2851" customFormat="1" customHeight="1" ht="4.2">
      <c r="A55" s="1431" t="s">
        <v>283</v>
      </c>
      <c r="B55" s="1431" t="s">
        <v>284</v>
      </c>
      <c r="C55" s="1430"/>
      <c r="D55" s="1430"/>
      <c r="E55" s="2346"/>
      <c r="F55" s="2345"/>
      <c r="G55" s="1430"/>
      <c r="H55" s="1430"/>
      <c r="I55" s="1430"/>
      <c r="J55" s="1430"/>
      <c r="K55" s="1430"/>
      <c r="L55" s="1433"/>
      <c r="M55" s="1435"/>
      <c r="N55" s="1435"/>
      <c r="O55" s="40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1307"/>
      <c r="AP55" s="1307" t="str">
        <f>IF(T55="","",T55)</f>
        <v>Добавить централизованную систему для дифференциации</v>
      </c>
      <c r="AQ55" s="1307"/>
      <c r="AR55" s="1307"/>
      <c r="AS55" s="1698">
        <v>4</v>
      </c>
    </row>
    <row s="2851" customFormat="1" customHeight="1" ht="4.2">
      <c r="A56" s="1431" t="s">
        <v>283</v>
      </c>
      <c r="B56" s="1431"/>
      <c r="C56" s="1431"/>
      <c r="D56" s="1431"/>
      <c r="E56" s="2345"/>
      <c r="F56" s="1431"/>
      <c r="G56" s="1431"/>
      <c r="H56" s="1431"/>
      <c r="I56" s="1431"/>
      <c r="J56" s="1431"/>
      <c r="K56" s="1431"/>
      <c r="L56" s="1437"/>
      <c r="M56" s="1435"/>
      <c r="N56" s="1435"/>
      <c r="O56" s="407"/>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1680"/>
      <c r="AP56" s="1680" t="str">
        <f>IF(T56="","",T56)</f>
        <v>Добавить территорию для дифференциации</v>
      </c>
      <c r="AQ56" s="1680"/>
      <c r="AR56" s="1680"/>
      <c r="AS56" s="1692">
        <v>4</v>
      </c>
    </row>
    <row s="2851" customFormat="1" customHeight="1" ht="4.2">
      <c r="A57" s="1430"/>
      <c r="B57" s="1430"/>
      <c r="C57" s="1430"/>
      <c r="D57" s="1430"/>
      <c r="E57" s="1431"/>
      <c r="F57" s="1430"/>
      <c r="G57" s="1430"/>
      <c r="H57" s="1430"/>
      <c r="I57" s="1430"/>
      <c r="J57" s="1430"/>
      <c r="K57" s="1430"/>
      <c r="L57" s="1433"/>
      <c r="M57" s="1435"/>
      <c r="N57" s="1435"/>
      <c r="O57" s="40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1307"/>
      <c r="AP57" s="1307" t="str">
        <f>IF(T57="","",T57)</f>
        <v>Добавить наименование тарифа</v>
      </c>
      <c r="AQ57" s="1307"/>
      <c r="AR57" s="1307"/>
      <c r="AS57" s="1698">
        <v>4</v>
      </c>
    </row>
    <row customHeight="1" ht="11.549999999999999">
      <c r="M58" s="1687"/>
      <c r="N58" s="1687"/>
      <c r="O58" s="1691"/>
      <c r="P58" s="1687"/>
      <c r="Q58" s="1687"/>
      <c r="R58" s="1687"/>
      <c r="S58" s="1687"/>
      <c r="AN58" s="1687"/>
      <c r="AO58" s="1687"/>
      <c r="AP58" s="1687"/>
      <c r="AQ58" s="1687"/>
      <c r="AR58" s="1687"/>
      <c r="AS58" s="1687">
        <v>11</v>
      </c>
    </row>
    <row customHeight="1" ht="28.5">
      <c r="O59" s="1691"/>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687">
        <v>27</v>
      </c>
    </row>
    <row customHeight="1" ht="65.25">
      <c r="O60" s="1691"/>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687">
        <v>62</v>
      </c>
    </row>
    <row customHeight="1" ht="14.699999999999998">
      <c r="O61" s="1691"/>
      <c r="AS61" s="1687">
        <v>14</v>
      </c>
    </row>
    <row customHeight="1" ht="18.75">
      <c r="O62" s="1691"/>
      <c r="S62" s="130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687">
        <v>18</v>
      </c>
    </row>
    <row customHeight="1" ht="18.75">
      <c r="O63" s="1691"/>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687">
        <v>18</v>
      </c>
    </row>
    <row customHeight="1" ht="29.25">
      <c r="O64" s="1691"/>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687">
        <v>28</v>
      </c>
    </row>
    <row customHeight="1" ht="22.5" hidden="1">
      <c r="A65" s="1687" t="s">
        <v>86</v>
      </c>
      <c r="B65" s="1687">
        <v>0</v>
      </c>
      <c r="C65" s="1687">
        <v>0</v>
      </c>
      <c r="D65" s="1687">
        <v>0</v>
      </c>
      <c r="E65" s="1687">
        <v>0</v>
      </c>
      <c r="F65" s="1687">
        <v>0</v>
      </c>
      <c r="G65" s="1687">
        <v>0</v>
      </c>
      <c r="H65" s="1687">
        <v>0</v>
      </c>
      <c r="I65" s="1687">
        <v>0</v>
      </c>
      <c r="J65" s="1687">
        <v>0</v>
      </c>
      <c r="K65" s="1687">
        <v>0</v>
      </c>
      <c r="L65" s="1995">
        <v>0</v>
      </c>
      <c r="M65" s="2021">
        <v>0</v>
      </c>
      <c r="N65" s="2021">
        <v>0</v>
      </c>
      <c r="O65" s="2021">
        <v>0</v>
      </c>
      <c r="P65" s="2021">
        <v>3</v>
      </c>
      <c r="Q65" s="400">
        <v>3</v>
      </c>
      <c r="R65" s="400">
        <v>3</v>
      </c>
      <c r="S65" s="637">
        <v>12</v>
      </c>
      <c r="T65" s="1687">
        <v>31</v>
      </c>
      <c r="U65" s="1687">
        <v>0</v>
      </c>
      <c r="V65" s="1687">
        <v>0</v>
      </c>
      <c r="W65" s="1687">
        <v>0</v>
      </c>
      <c r="X65" s="1687">
        <v>0</v>
      </c>
      <c r="Y65" s="1687">
        <v>0</v>
      </c>
      <c r="Z65" s="1687">
        <v>0</v>
      </c>
      <c r="AA65" s="1687">
        <v>0</v>
      </c>
      <c r="AB65" s="1687">
        <v>0</v>
      </c>
      <c r="AC65" s="1687">
        <v>0</v>
      </c>
      <c r="AD65" s="1687">
        <v>24</v>
      </c>
      <c r="AE65" s="1687">
        <v>0</v>
      </c>
      <c r="AF65" s="1687">
        <v>24</v>
      </c>
      <c r="AG65" s="1687">
        <v>24</v>
      </c>
      <c r="AH65" s="1687">
        <v>11</v>
      </c>
      <c r="AI65" s="1687">
        <v>3</v>
      </c>
      <c r="AJ65" s="1687">
        <v>11</v>
      </c>
      <c r="AK65" s="1687">
        <v>0</v>
      </c>
      <c r="AL65" s="1687">
        <v>4</v>
      </c>
      <c r="AM65" s="1687">
        <v>115</v>
      </c>
      <c r="AN65" s="1692">
        <v>10</v>
      </c>
      <c r="AO65" s="1692">
        <v>10</v>
      </c>
      <c r="AP65" s="1692">
        <v>10</v>
      </c>
      <c r="AQ65" s="1692">
        <v>10</v>
      </c>
      <c r="AR65" s="1692">
        <v>10</v>
      </c>
      <c r="AS65" s="168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75D18D-EF2D-4882-DA7C-B5236AE6DD26}"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774" width="10.57421875" hidden="1"/>
    <col min="2" max="2" style="2774" width="11.00390625" hidden="1" customWidth="1"/>
    <col min="3" max="3" style="2774" width="10.57421875" hidden="1"/>
    <col min="4" max="4" style="2774" width="11.8515625" hidden="1" customWidth="1"/>
    <col min="5" max="5" style="2774" width="10.00390625" hidden="1" customWidth="1"/>
    <col min="6" max="6" style="2774" width="8.7109375" hidden="1" customWidth="1"/>
    <col min="7" max="7" style="2774" width="7.57421875" hidden="1" customWidth="1"/>
    <col min="8" max="8" style="2774" width="11.421875" hidden="1" customWidth="1"/>
    <col min="9" max="9" style="2774" width="12.00390625" hidden="1" customWidth="1"/>
    <col min="10" max="10" style="2774" width="9.8515625" hidden="1" customWidth="1"/>
    <col min="11" max="11" style="2774" width="11.421875" hidden="1" customWidth="1"/>
    <col min="12" max="12" style="2849" width="19.140625" hidden="1" customWidth="1"/>
    <col min="13" max="14" style="3680" width="12.28125" hidden="1" customWidth="1"/>
    <col min="15" max="15" style="3680" width="23.421875" hidden="1" customWidth="1"/>
    <col min="16" max="16" style="3680" width="3.00390625"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AS1" s="1687" t="s">
        <v>14</v>
      </c>
    </row>
    <row customHeight="1" ht="21" hidden="1">
      <c r="A2" s="1323"/>
      <c r="B2" s="1323"/>
      <c r="C2" s="1323"/>
      <c r="D2" s="1323"/>
      <c r="E2" s="2345">
        <v>1</v>
      </c>
      <c r="F2" s="1323"/>
      <c r="G2" s="1323"/>
      <c r="H2" s="1323"/>
      <c r="I2" s="1323"/>
      <c r="J2" s="1323"/>
      <c r="K2" s="1323"/>
      <c r="L2" s="1366"/>
      <c r="M2" s="1666"/>
      <c r="N2" s="1666"/>
      <c r="O2" s="1666"/>
      <c r="P2" s="1646"/>
      <c r="Q2" s="416"/>
      <c r="R2" s="411"/>
      <c r="S2" s="2014">
        <f>INDEX(PT_DIFFERENTIATION_NUM_NTAR,MATCH(A2,PT_DIFFERENTIATION_NTAR_ID,0))</f>
      </c>
      <c r="T2" s="1581"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1680"/>
      <c r="AP2" s="1680" t="str">
        <f>IF(T2="","",T2)</f>
        <v>Наименование тарифа</v>
      </c>
      <c r="AQ2" s="1680"/>
      <c r="AR2" s="1680"/>
      <c r="AS2" s="1687">
        <v>0</v>
      </c>
    </row>
    <row customHeight="1" ht="21" hidden="1">
      <c r="A3" s="1323"/>
      <c r="B3" s="1323"/>
      <c r="C3" s="1323"/>
      <c r="D3" s="1323"/>
      <c r="E3" s="2346"/>
      <c r="F3" s="2345">
        <v>1</v>
      </c>
      <c r="G3" s="1323"/>
      <c r="H3" s="1323"/>
      <c r="I3" s="1323"/>
      <c r="J3" s="1323"/>
      <c r="K3" s="1323"/>
      <c r="L3" s="1366"/>
      <c r="M3" s="1666"/>
      <c r="N3" s="1666"/>
      <c r="O3" s="1666"/>
      <c r="P3" s="1996"/>
      <c r="Q3" s="408"/>
      <c r="R3" s="409"/>
      <c r="S3" s="2014">
        <f>INDEX(PT_DIFFERENTIATION_NUM_TER,MATCH(B3,PT_DIFFERENTIATION_TER_ID,0))</f>
      </c>
      <c r="T3" s="1578"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1680"/>
      <c r="AP3" s="1680" t="str">
        <f>IF(T3="","",T3)</f>
        <v>Территория действия тарифа</v>
      </c>
      <c r="AQ3" s="1680"/>
      <c r="AR3" s="1680"/>
      <c r="AS3" s="1687">
        <v>0</v>
      </c>
    </row>
    <row customHeight="1" ht="23.25" hidden="1">
      <c r="A4" s="1323"/>
      <c r="B4" s="1323"/>
      <c r="C4" s="1323"/>
      <c r="D4" s="1323"/>
      <c r="E4" s="2346"/>
      <c r="F4" s="2346"/>
      <c r="G4" s="2345">
        <v>1</v>
      </c>
      <c r="H4" s="1323"/>
      <c r="I4" s="1323"/>
      <c r="J4" s="1323"/>
      <c r="K4" s="1323"/>
      <c r="L4" s="1366"/>
      <c r="M4" s="1666"/>
      <c r="N4" s="1666"/>
      <c r="O4" s="1666"/>
      <c r="P4" s="410"/>
      <c r="Q4" s="408"/>
      <c r="R4" s="409"/>
      <c r="S4" s="2014">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1680"/>
      <c r="AP4" s="1680" t="str">
        <f>IF(T4="","",T4)</f>
        <v>Наименование системы теплоснабжения </v>
      </c>
      <c r="AQ4" s="1680"/>
      <c r="AR4" s="1680"/>
      <c r="AS4" s="1687">
        <v>0</v>
      </c>
    </row>
    <row customHeight="1" ht="21" hidden="1">
      <c r="A5" s="1323"/>
      <c r="B5" s="1323"/>
      <c r="C5" s="1323"/>
      <c r="D5" s="1323"/>
      <c r="E5" s="2346"/>
      <c r="F5" s="2346"/>
      <c r="G5" s="2346"/>
      <c r="H5" s="2345">
        <v>1</v>
      </c>
      <c r="I5" s="1323"/>
      <c r="J5" s="1323"/>
      <c r="K5" s="1323"/>
      <c r="L5" s="1366"/>
      <c r="M5" s="1666"/>
      <c r="N5" s="1666"/>
      <c r="O5" s="1666"/>
      <c r="P5" s="410"/>
      <c r="Q5" s="408"/>
      <c r="R5" s="409"/>
      <c r="S5" s="2014">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1680"/>
      <c r="AP5" s="1680" t="str">
        <f>IF(T5="","",T5)</f>
        <v>Источник тепловой энергии  </v>
      </c>
      <c r="AQ5" s="1680"/>
      <c r="AR5" s="1680"/>
      <c r="AS5" s="1687">
        <v>0</v>
      </c>
    </row>
    <row customHeight="1" ht="47.25" hidden="1">
      <c r="A6" s="1323"/>
      <c r="B6" s="1323"/>
      <c r="C6" s="1323"/>
      <c r="D6" s="1323"/>
      <c r="E6" s="2346"/>
      <c r="F6" s="2346"/>
      <c r="G6" s="2346"/>
      <c r="H6" s="2346"/>
      <c r="I6" s="2183">
        <f>S5&amp;".1"</f>
      </c>
      <c r="J6" s="1323"/>
      <c r="K6" s="1323"/>
      <c r="L6" s="1366" t="s">
        <v>535</v>
      </c>
      <c r="M6" s="1691"/>
      <c r="P6" s="2313">
        <v>1</v>
      </c>
      <c r="Q6" s="2010"/>
      <c r="R6" s="412"/>
      <c r="S6" s="2014">
        <f>$I6</f>
      </c>
      <c r="T6" s="341" t="s">
        <v>536</v>
      </c>
      <c r="U6" s="356"/>
      <c r="V6" s="2301"/>
      <c r="W6" s="2302"/>
      <c r="X6" s="2302"/>
      <c r="Y6" s="2302"/>
      <c r="Z6" s="2302"/>
      <c r="AA6" s="2302"/>
      <c r="AB6" s="2302"/>
      <c r="AC6" s="2303"/>
      <c r="AD6" s="2301"/>
      <c r="AE6" s="2302"/>
      <c r="AF6" s="2302"/>
      <c r="AG6" s="2302"/>
      <c r="AH6" s="2302"/>
      <c r="AI6" s="2302"/>
      <c r="AJ6" s="2302"/>
      <c r="AK6" s="2302"/>
      <c r="AL6" s="2303"/>
      <c r="AM6" s="1314" t="s">
        <v>537</v>
      </c>
      <c r="AO6" s="1680"/>
      <c r="AP6" s="1680" t="str">
        <f>IF(T6="","",T6)</f>
        <v>Схема подключения теплопотребляющей установки к коллектору источника тепловой энергии</v>
      </c>
      <c r="AQ6" s="1680"/>
      <c r="AR6" s="1680"/>
      <c r="AS6" s="1687">
        <v>0</v>
      </c>
    </row>
    <row customHeight="1" ht="21" hidden="1">
      <c r="A7" s="1323"/>
      <c r="B7" s="1323"/>
      <c r="C7" s="1323"/>
      <c r="D7" s="1323"/>
      <c r="E7" s="2346"/>
      <c r="F7" s="2346"/>
      <c r="G7" s="2346"/>
      <c r="H7" s="2346"/>
      <c r="I7" s="2157"/>
      <c r="J7" s="2183">
        <f>I6&amp;".1"</f>
      </c>
      <c r="K7" s="1323"/>
      <c r="L7" s="1366" t="s">
        <v>538</v>
      </c>
      <c r="M7" s="1691"/>
      <c r="N7" s="1687"/>
      <c r="P7" s="2313"/>
      <c r="Q7" s="2313">
        <v>1</v>
      </c>
      <c r="R7" s="413"/>
      <c r="S7" s="2014">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1680"/>
      <c r="AP7" s="1680" t="str">
        <f>IF(T7="","",T7)</f>
        <v>Группа потребителей</v>
      </c>
      <c r="AQ7" s="1680"/>
      <c r="AR7" s="1680"/>
      <c r="AS7" s="1687">
        <v>0</v>
      </c>
    </row>
    <row customHeight="1" ht="21" hidden="1">
      <c r="A8" s="1323"/>
      <c r="B8" s="1323"/>
      <c r="C8" s="1323"/>
      <c r="D8" s="1323"/>
      <c r="E8" s="2346"/>
      <c r="F8" s="2346"/>
      <c r="G8" s="2346"/>
      <c r="H8" s="2346"/>
      <c r="I8" s="2157"/>
      <c r="J8" s="2157"/>
      <c r="K8" s="2183">
        <f>J7&amp;".1"</f>
      </c>
      <c r="L8" s="1366" t="s">
        <v>541</v>
      </c>
      <c r="M8" s="1691"/>
      <c r="N8" s="1687"/>
      <c r="O8" s="1687"/>
      <c r="P8" s="2313"/>
      <c r="Q8" s="2313"/>
      <c r="R8" s="413">
        <v>1</v>
      </c>
      <c r="S8" s="2014">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1692">
        <f>STRCHECKDATE(V9:AL9)</f>
      </c>
      <c r="AO8" s="1680"/>
      <c r="AP8" s="1680" t="str">
        <f>IF(T8="","",T8)</f>
        <v/>
      </c>
      <c r="AQ8" s="1680"/>
      <c r="AR8" s="1680"/>
      <c r="AS8" s="1687">
        <v>0</v>
      </c>
    </row>
    <row customHeight="1" ht="0.75" hidden="1">
      <c r="A9" s="1323"/>
      <c r="B9" s="1323"/>
      <c r="C9" s="1323"/>
      <c r="D9" s="1323"/>
      <c r="E9" s="2346"/>
      <c r="F9" s="2346"/>
      <c r="G9" s="2346"/>
      <c r="H9" s="2346"/>
      <c r="I9" s="2157"/>
      <c r="J9" s="2157"/>
      <c r="K9" s="2183"/>
      <c r="L9" s="1366"/>
      <c r="M9" s="1691"/>
      <c r="N9" s="1687"/>
      <c r="O9" s="1687"/>
      <c r="P9" s="2313"/>
      <c r="Q9" s="2313"/>
      <c r="R9" s="413"/>
      <c r="S9" s="2023"/>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1680"/>
      <c r="AP9" s="1680" t="str">
        <f>IF(T9="","",T9)</f>
        <v/>
      </c>
      <c r="AQ9" s="1680"/>
      <c r="AR9" s="1680"/>
      <c r="AS9" s="1687">
        <v>0</v>
      </c>
    </row>
    <row customHeight="1" ht="15" hidden="1">
      <c r="A10" s="1323"/>
      <c r="B10" s="1323"/>
      <c r="C10" s="1323"/>
      <c r="D10" s="1323"/>
      <c r="E10" s="2346"/>
      <c r="F10" s="2346"/>
      <c r="G10" s="2346"/>
      <c r="H10" s="2346"/>
      <c r="I10" s="2157"/>
      <c r="J10" s="2183"/>
      <c r="K10" s="1323"/>
      <c r="L10" s="1366"/>
      <c r="M10" s="1691"/>
      <c r="N10" s="1687"/>
      <c r="P10" s="2313"/>
      <c r="Q10" s="2313"/>
      <c r="R10" s="412"/>
      <c r="S10" s="1334"/>
      <c r="T10" s="344" t="s">
        <v>543</v>
      </c>
      <c r="U10" s="656"/>
      <c r="V10" s="656"/>
      <c r="W10" s="656"/>
      <c r="X10" s="656"/>
      <c r="Y10" s="656"/>
      <c r="Z10" s="656"/>
      <c r="AA10" s="656"/>
      <c r="AB10" s="656"/>
      <c r="AC10" s="656"/>
      <c r="AD10" s="656"/>
      <c r="AE10" s="656"/>
      <c r="AF10" s="656"/>
      <c r="AG10" s="656"/>
      <c r="AH10" s="656"/>
      <c r="AI10" s="656"/>
      <c r="AJ10" s="656"/>
      <c r="AK10" s="656"/>
      <c r="AL10" s="380"/>
      <c r="AM10" s="2311"/>
      <c r="AO10" s="1680"/>
      <c r="AP10" s="1680" t="str">
        <f>IF(T10="","",T10)</f>
        <v>Добавить вид теплоносителя (параметры теплоносителя)</v>
      </c>
      <c r="AQ10" s="1680"/>
      <c r="AR10" s="1680"/>
      <c r="AS10" s="1687">
        <v>0</v>
      </c>
    </row>
    <row customHeight="1" ht="15" hidden="1">
      <c r="A11" s="1323"/>
      <c r="B11" s="1323"/>
      <c r="C11" s="1323"/>
      <c r="D11" s="1323"/>
      <c r="E11" s="2346"/>
      <c r="F11" s="2346"/>
      <c r="G11" s="2346"/>
      <c r="H11" s="2346"/>
      <c r="I11" s="2183"/>
      <c r="J11" s="1323"/>
      <c r="K11" s="1323"/>
      <c r="L11" s="1366"/>
      <c r="M11" s="1691"/>
      <c r="P11" s="2313"/>
      <c r="Q11" s="2010"/>
      <c r="R11" s="412"/>
      <c r="S11" s="1334"/>
      <c r="T11" s="343" t="s">
        <v>544</v>
      </c>
      <c r="U11" s="656"/>
      <c r="V11" s="656"/>
      <c r="W11" s="656"/>
      <c r="X11" s="656"/>
      <c r="Y11" s="656"/>
      <c r="Z11" s="656"/>
      <c r="AA11" s="656"/>
      <c r="AB11" s="656"/>
      <c r="AC11" s="422"/>
      <c r="AD11" s="656"/>
      <c r="AE11" s="656"/>
      <c r="AF11" s="656"/>
      <c r="AG11" s="656"/>
      <c r="AH11" s="656"/>
      <c r="AI11" s="656"/>
      <c r="AJ11" s="656"/>
      <c r="AK11" s="422"/>
      <c r="AL11" s="656"/>
      <c r="AM11" s="359"/>
      <c r="AO11" s="1680"/>
      <c r="AP11" s="1680" t="str">
        <f>IF(T11="","",T11)</f>
        <v>Добавить группу потребителей</v>
      </c>
      <c r="AQ11" s="1680"/>
      <c r="AR11" s="1680"/>
      <c r="AS11" s="1687">
        <v>0</v>
      </c>
    </row>
    <row customHeight="1" ht="14.25" hidden="1">
      <c r="A12" s="1323"/>
      <c r="B12" s="1323"/>
      <c r="C12" s="1323"/>
      <c r="D12" s="1323"/>
      <c r="E12" s="2346"/>
      <c r="F12" s="2346"/>
      <c r="G12" s="2346"/>
      <c r="H12" s="2345"/>
      <c r="I12" s="1323"/>
      <c r="J12" s="1323"/>
      <c r="K12" s="1323"/>
      <c r="L12" s="1366"/>
      <c r="M12" s="1666"/>
      <c r="N12" s="1666"/>
      <c r="O12" s="1691"/>
      <c r="P12" s="416"/>
      <c r="Q12" s="431"/>
      <c r="R12" s="411"/>
      <c r="S12" s="1334"/>
      <c r="T12" s="421" t="s">
        <v>545</v>
      </c>
      <c r="U12" s="656"/>
      <c r="V12" s="656"/>
      <c r="W12" s="656"/>
      <c r="X12" s="656"/>
      <c r="Y12" s="656"/>
      <c r="Z12" s="656"/>
      <c r="AA12" s="656"/>
      <c r="AB12" s="656"/>
      <c r="AC12" s="422"/>
      <c r="AD12" s="656"/>
      <c r="AE12" s="656"/>
      <c r="AF12" s="656"/>
      <c r="AG12" s="656"/>
      <c r="AH12" s="656"/>
      <c r="AI12" s="656"/>
      <c r="AJ12" s="656"/>
      <c r="AK12" s="422"/>
      <c r="AL12" s="656"/>
      <c r="AM12" s="359"/>
      <c r="AO12" s="1680"/>
      <c r="AP12" s="1680" t="str">
        <f>IF(T12="","",T12)</f>
        <v>Добавить схему подключения</v>
      </c>
      <c r="AQ12" s="1680"/>
      <c r="AR12" s="1680"/>
      <c r="AS12" s="1687">
        <v>0</v>
      </c>
    </row>
    <row s="2851" customFormat="1" customHeight="1" ht="0.75" hidden="1">
      <c r="A13" s="2030"/>
      <c r="B13" s="2030"/>
      <c r="C13" s="2030"/>
      <c r="D13" s="2030"/>
      <c r="E13" s="2346"/>
      <c r="F13" s="2346"/>
      <c r="G13" s="2345"/>
      <c r="H13" s="2030"/>
      <c r="I13" s="2030"/>
      <c r="J13" s="2030"/>
      <c r="K13" s="2030"/>
      <c r="L13" s="1436"/>
      <c r="M13" s="1666"/>
      <c r="N13" s="1666"/>
      <c r="O13" s="169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1307"/>
      <c r="AP13" s="1307" t="str">
        <f>IF(T13="","",T13)</f>
        <v>Добавить источник для дифференциации</v>
      </c>
      <c r="AQ13" s="1307"/>
      <c r="AR13" s="1307"/>
      <c r="AS13" s="1698">
        <v>0</v>
      </c>
    </row>
    <row s="2851" customFormat="1" customHeight="1" ht="0.75" hidden="1">
      <c r="A14" s="2030"/>
      <c r="B14" s="2030"/>
      <c r="C14" s="2030"/>
      <c r="D14" s="2030"/>
      <c r="E14" s="2346"/>
      <c r="F14" s="2345"/>
      <c r="G14" s="2030"/>
      <c r="H14" s="2030"/>
      <c r="I14" s="2030"/>
      <c r="J14" s="2030"/>
      <c r="K14" s="2030"/>
      <c r="L14" s="1436"/>
      <c r="M14" s="2031"/>
      <c r="N14" s="2031"/>
      <c r="O14" s="1691"/>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1307"/>
      <c r="AP14" s="1307" t="str">
        <f>IF(T14="","",T14)</f>
        <v>Добавить централизованную систему для дифференциации</v>
      </c>
      <c r="AQ14" s="1307"/>
      <c r="AR14" s="1307"/>
      <c r="AS14" s="1698">
        <v>0</v>
      </c>
    </row>
    <row s="2851" customFormat="1" customHeight="1" ht="0.75" hidden="1">
      <c r="A15" s="2030"/>
      <c r="B15" s="2030"/>
      <c r="C15" s="2030"/>
      <c r="D15" s="2030"/>
      <c r="E15" s="2345"/>
      <c r="F15" s="2030"/>
      <c r="G15" s="2030"/>
      <c r="H15" s="2030"/>
      <c r="I15" s="2030"/>
      <c r="J15" s="2030"/>
      <c r="K15" s="2030"/>
      <c r="L15" s="1436"/>
      <c r="M15" s="2031"/>
      <c r="N15" s="2031"/>
      <c r="O15" s="1691"/>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1307"/>
      <c r="AP15" s="1307" t="str">
        <f>IF(T15="","",T15)</f>
        <v>Добавить территорию для дифференциации</v>
      </c>
      <c r="AQ15" s="1307"/>
      <c r="AR15" s="1307"/>
      <c r="AS15" s="1698">
        <v>0</v>
      </c>
    </row>
    <row customHeight="1" ht="14.25" hidden="1">
      <c r="AS16" s="1687">
        <v>0</v>
      </c>
    </row>
    <row customHeight="1" ht="14.25" hidden="1">
      <c r="AD17" s="1416"/>
      <c r="AE17" s="1416"/>
      <c r="AF17" s="1416"/>
      <c r="AG17" s="1417"/>
      <c r="AH17" s="2323"/>
      <c r="AI17" s="2324" t="s">
        <v>65</v>
      </c>
      <c r="AJ17" s="2323"/>
      <c r="AK17" s="2324" t="s">
        <v>65</v>
      </c>
      <c r="AS17" s="1687">
        <v>0</v>
      </c>
    </row>
    <row customHeight="1" ht="14.25" hidden="1">
      <c r="AD18" s="1416"/>
      <c r="AE18" s="1416"/>
      <c r="AF18" s="1416"/>
      <c r="AG18" s="384" t="str">
        <f>AH17&amp;"-"&amp;AJ17</f>
        <v>-</v>
      </c>
      <c r="AH18" s="2324"/>
      <c r="AI18" s="2324"/>
      <c r="AJ18" s="2324"/>
      <c r="AK18" s="2324"/>
      <c r="AS18" s="1687">
        <v>0</v>
      </c>
    </row>
    <row customHeight="1" ht="14.25" hidden="1">
      <c r="AS19" s="1687">
        <v>0</v>
      </c>
    </row>
    <row s="2850" customFormat="1" customHeight="1" ht="14.25" hidden="1">
      <c r="A20" s="1687"/>
      <c r="B20" s="1687"/>
      <c r="C20" s="1687"/>
      <c r="D20" s="1687"/>
      <c r="E20" s="1687"/>
      <c r="F20" s="1687"/>
      <c r="G20" s="1687"/>
      <c r="H20" s="1687"/>
      <c r="I20" s="1687"/>
      <c r="J20" s="1687"/>
      <c r="K20" s="1687"/>
      <c r="L20" s="1995"/>
      <c r="M20" s="2021"/>
      <c r="N20" s="2021"/>
      <c r="O20" s="1401" t="s">
        <v>547</v>
      </c>
      <c r="P20" s="1418"/>
      <c r="Q20" s="1427"/>
      <c r="R20" s="1427"/>
      <c r="S20" s="785"/>
      <c r="Z20" s="1423"/>
      <c r="AB20" s="1423"/>
      <c r="AH20" s="1423"/>
      <c r="AJ20" s="1423"/>
      <c r="AN20" s="1692"/>
      <c r="AO20" s="1692"/>
      <c r="AP20" s="1692"/>
      <c r="AQ20" s="1692"/>
      <c r="AR20" s="1692"/>
      <c r="AS20" s="1422">
        <v>0</v>
      </c>
    </row>
    <row s="2850" customFormat="1" customHeight="1" ht="14.25" hidden="1">
      <c r="A21" s="1687"/>
      <c r="B21" s="1687"/>
      <c r="C21" s="1687"/>
      <c r="D21" s="1687"/>
      <c r="E21" s="1687"/>
      <c r="F21" s="1687"/>
      <c r="G21" s="1687"/>
      <c r="H21" s="1687"/>
      <c r="I21" s="1687"/>
      <c r="J21" s="1687"/>
      <c r="K21" s="1687"/>
      <c r="L21" s="1995"/>
      <c r="M21" s="2021"/>
      <c r="N21" s="2021"/>
      <c r="O21" s="2021"/>
      <c r="P21" s="1418"/>
      <c r="Q21" s="1427"/>
      <c r="R21" s="1427"/>
      <c r="S21" s="785"/>
      <c r="AN21" s="1692"/>
      <c r="AO21" s="1692"/>
      <c r="AP21" s="1692"/>
      <c r="AQ21" s="1692"/>
      <c r="AR21" s="1692"/>
      <c r="AS21" s="1422">
        <v>0</v>
      </c>
    </row>
    <row s="2850" customFormat="1" customHeight="1" ht="14.25" hidden="1">
      <c r="A22" s="1687"/>
      <c r="B22" s="1687"/>
      <c r="C22" s="1687"/>
      <c r="D22" s="1687"/>
      <c r="E22" s="1687"/>
      <c r="F22" s="1687"/>
      <c r="G22" s="1687"/>
      <c r="H22" s="1687"/>
      <c r="I22" s="1687"/>
      <c r="J22" s="1687"/>
      <c r="K22" s="1687"/>
      <c r="L22" s="1995"/>
      <c r="M22" s="2021"/>
      <c r="N22" s="2021"/>
      <c r="O22" s="1366" t="s">
        <v>548</v>
      </c>
      <c r="P22" s="1418"/>
      <c r="Q22" s="1427"/>
      <c r="R22" s="1427"/>
      <c r="S22" s="785"/>
      <c r="T22" s="1422" t="s">
        <v>549</v>
      </c>
      <c r="AA22" s="651" t="s">
        <v>550</v>
      </c>
      <c r="AC22" s="651" t="s">
        <v>551</v>
      </c>
      <c r="AD22" s="1422" t="s">
        <v>549</v>
      </c>
      <c r="AI22" s="651" t="s">
        <v>552</v>
      </c>
      <c r="AK22" s="651" t="s">
        <v>551</v>
      </c>
      <c r="AN22" s="1692"/>
      <c r="AO22" s="1692"/>
      <c r="AP22" s="1692"/>
      <c r="AQ22" s="1692"/>
      <c r="AR22" s="1692"/>
      <c r="AS22" s="1422">
        <v>0</v>
      </c>
    </row>
    <row customHeight="1" ht="14.25" hidden="1">
      <c r="O23" s="1366"/>
      <c r="AS23" s="1687">
        <v>0</v>
      </c>
    </row>
    <row customHeight="1" ht="14.25" hidden="1">
      <c r="O24" s="1366"/>
      <c r="AS24" s="1687">
        <v>0</v>
      </c>
    </row>
    <row customHeight="1" ht="14.699999999999998">
      <c r="Q25" s="432"/>
      <c r="R25" s="432"/>
      <c r="S25" s="1331"/>
      <c r="T25" s="513"/>
      <c r="U25" s="513"/>
      <c r="V25" s="1691"/>
      <c r="W25" s="1691"/>
      <c r="X25" s="1691"/>
      <c r="Y25" s="1691"/>
      <c r="Z25" s="1691"/>
      <c r="AA25" s="1691"/>
      <c r="AB25" s="1691"/>
      <c r="AC25" s="1691"/>
      <c r="AD25" s="1691"/>
      <c r="AE25" s="1691"/>
      <c r="AF25" s="1691"/>
      <c r="AG25" s="1691"/>
      <c r="AH25" s="1691"/>
      <c r="AI25" s="1691"/>
      <c r="AJ25" s="1691"/>
      <c r="AK25" s="1691"/>
      <c r="AS25" s="1687">
        <v>14</v>
      </c>
    </row>
    <row customHeight="1" ht="14.699999999999998">
      <c r="Q26" s="432"/>
      <c r="R26" s="432"/>
      <c r="S26" s="23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4"/>
      <c r="U26" s="2304"/>
      <c r="V26" s="2304"/>
      <c r="W26" s="2304"/>
      <c r="X26" s="2304"/>
      <c r="Y26" s="2304"/>
      <c r="Z26" s="2304"/>
      <c r="AA26" s="2304"/>
      <c r="AB26" s="2304"/>
      <c r="AC26" s="2304"/>
      <c r="AD26" s="2304"/>
      <c r="AE26" s="2304"/>
      <c r="AF26" s="2304"/>
      <c r="AG26" s="2304"/>
      <c r="AH26" s="2304"/>
      <c r="AI26" s="2304"/>
      <c r="AJ26" s="2304"/>
      <c r="AK26" s="1299"/>
      <c r="AS26" s="1687">
        <v>14</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687">
        <v>14</v>
      </c>
    </row>
    <row customHeight="1" ht="14.25" hidden="1">
      <c r="Q28" s="432"/>
      <c r="R28" s="432"/>
      <c r="S28" s="1331"/>
      <c r="T28" s="513"/>
      <c r="U28" s="513"/>
      <c r="V28" s="378"/>
      <c r="W28" s="378"/>
      <c r="X28" s="378"/>
      <c r="Y28" s="378"/>
      <c r="Z28" s="378"/>
      <c r="AA28" s="378"/>
      <c r="AB28" s="378"/>
      <c r="AC28" s="378"/>
      <c r="AD28" s="378"/>
      <c r="AE28" s="378"/>
      <c r="AF28" s="378"/>
      <c r="AG28" s="378"/>
      <c r="AH28" s="378"/>
      <c r="AI28" s="378"/>
      <c r="AJ28" s="378"/>
      <c r="AK28" s="378"/>
      <c r="AL28" s="1691"/>
      <c r="AS28" s="1687">
        <v>0</v>
      </c>
    </row>
    <row s="2983" customFormat="1" customHeight="1" ht="25.5" hidden="1">
      <c r="A29" s="1304"/>
      <c r="B29" s="1304"/>
      <c r="C29" s="1304"/>
      <c r="D29" s="1304"/>
      <c r="E29" s="1304"/>
      <c r="F29" s="1304"/>
      <c r="G29" s="1304"/>
      <c r="H29" s="1304"/>
      <c r="I29" s="1304"/>
      <c r="J29" s="1304"/>
      <c r="K29" s="1304"/>
      <c r="L29" s="1436"/>
      <c r="M29" s="1304"/>
      <c r="N29" s="1304"/>
      <c r="O29" s="130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1691"/>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1691"/>
      <c r="AL29" s="1691"/>
      <c r="AM29" s="336"/>
      <c r="AN29" s="424"/>
      <c r="AO29" s="424"/>
      <c r="AP29" s="424"/>
      <c r="AQ29" s="424"/>
      <c r="AR29" s="424"/>
      <c r="AS29" s="474">
        <v>0</v>
      </c>
    </row>
    <row s="2983" customFormat="1" customHeight="1" ht="18.75" hidden="1">
      <c r="A30" s="1304"/>
      <c r="B30" s="1304"/>
      <c r="C30" s="1304"/>
      <c r="D30" s="1304"/>
      <c r="E30" s="1304"/>
      <c r="F30" s="1304"/>
      <c r="G30" s="1304"/>
      <c r="H30" s="1304"/>
      <c r="I30" s="1304"/>
      <c r="J30" s="1304"/>
      <c r="K30" s="1304"/>
      <c r="L30" s="1436"/>
      <c r="M30" s="1304"/>
      <c r="N30" s="1304"/>
      <c r="O30" s="1304"/>
      <c r="S30" s="2306" t="s">
        <v>553</v>
      </c>
      <c r="T30" s="2306"/>
      <c r="U30" s="1428"/>
      <c r="V30" s="2320" t="str">
        <f>IF(TITLE_DATE_PR_CHANGE="",IF(TITLE_DATE_PR="","",TITLE_DATE_PR),TITLE_DATE_PR_CHANGE)</f>
        <v>45645</v>
      </c>
      <c r="W30" s="2320"/>
      <c r="X30" s="2320"/>
      <c r="Y30" s="2320"/>
      <c r="Z30" s="2320"/>
      <c r="AA30" s="2320"/>
      <c r="AB30" s="2320"/>
      <c r="AC30" s="1691"/>
      <c r="AD30" s="2320" t="str">
        <f>IF(TITLE_DATE_PR_CHANGE="",IF(TITLE_DATE_PR="","",TITLE_DATE_PR),TITLE_DATE_PR_CHANGE)</f>
        <v>45645</v>
      </c>
      <c r="AE30" s="2320"/>
      <c r="AF30" s="2320"/>
      <c r="AG30" s="2320"/>
      <c r="AH30" s="2320"/>
      <c r="AI30" s="2320"/>
      <c r="AJ30" s="2320"/>
      <c r="AK30" s="1691"/>
      <c r="AL30" s="1691"/>
      <c r="AM30" s="336"/>
      <c r="AN30" s="424"/>
      <c r="AO30" s="424"/>
      <c r="AP30" s="424"/>
      <c r="AQ30" s="424"/>
      <c r="AR30" s="424"/>
      <c r="AS30" s="474">
        <v>0</v>
      </c>
    </row>
    <row s="2983" customFormat="1" customHeight="1" ht="18.75" hidden="1">
      <c r="A31" s="1304"/>
      <c r="B31" s="1304"/>
      <c r="C31" s="1304"/>
      <c r="D31" s="1304"/>
      <c r="E31" s="1304"/>
      <c r="F31" s="1304"/>
      <c r="G31" s="1304"/>
      <c r="H31" s="1304"/>
      <c r="I31" s="1304"/>
      <c r="J31" s="1304"/>
      <c r="K31" s="1304"/>
      <c r="L31" s="1436"/>
      <c r="M31" s="1304"/>
      <c r="N31" s="1304"/>
      <c r="O31" s="1304"/>
      <c r="S31" s="2306" t="s">
        <v>554</v>
      </c>
      <c r="T31" s="2306"/>
      <c r="U31" s="1428"/>
      <c r="V31" s="2307" t="str">
        <f>IF(TITLE_NUMBER_PR_CHANGE="",IF(TITLE_NUMBER_PR="","",TITLE_NUMBER_PR),TITLE_NUMBER_PR_CHANGE)</f>
        <v>208-вод</v>
      </c>
      <c r="W31" s="2307"/>
      <c r="X31" s="2307"/>
      <c r="Y31" s="2307"/>
      <c r="Z31" s="2307"/>
      <c r="AA31" s="2307"/>
      <c r="AB31" s="2307"/>
      <c r="AC31" s="1691"/>
      <c r="AD31" s="2307" t="str">
        <f>IF(TITLE_NUMBER_PR_CHANGE="",IF(TITLE_NUMBER_PR="","",TITLE_NUMBER_PR),TITLE_NUMBER_PR_CHANGE)</f>
        <v>208-вод</v>
      </c>
      <c r="AE31" s="2307"/>
      <c r="AF31" s="2307"/>
      <c r="AG31" s="2307"/>
      <c r="AH31" s="2307"/>
      <c r="AI31" s="2307"/>
      <c r="AJ31" s="2307"/>
      <c r="AK31" s="1691"/>
      <c r="AL31" s="1691"/>
      <c r="AM31" s="336"/>
      <c r="AN31" s="424"/>
      <c r="AO31" s="424"/>
      <c r="AP31" s="424"/>
      <c r="AQ31" s="424"/>
      <c r="AR31" s="424"/>
      <c r="AS31" s="474">
        <v>0</v>
      </c>
    </row>
    <row s="2983" customFormat="1" customHeight="1" ht="18.75" hidden="1">
      <c r="A32" s="1304"/>
      <c r="B32" s="1304"/>
      <c r="C32" s="1304"/>
      <c r="D32" s="1304"/>
      <c r="E32" s="1304"/>
      <c r="F32" s="1304"/>
      <c r="G32" s="1304"/>
      <c r="H32" s="1304"/>
      <c r="I32" s="1304"/>
      <c r="J32" s="1304"/>
      <c r="K32" s="1304"/>
      <c r="L32" s="1436"/>
      <c r="M32" s="1304"/>
      <c r="N32" s="1304"/>
      <c r="O32" s="130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1691"/>
      <c r="AD32" s="2307" t="str">
        <f>IF(TITLE_IST_PUB_CHANGE="",IF(TITLE_IST_PUB="","",TITLE_IST_PUB),TITLE_IST_PUB_CHANGE)</f>
        <v>Газета "Курская правда" №155 от 26.12.2024 г.</v>
      </c>
      <c r="AE32" s="2307"/>
      <c r="AF32" s="2307"/>
      <c r="AG32" s="2307"/>
      <c r="AH32" s="2307"/>
      <c r="AI32" s="2307"/>
      <c r="AJ32" s="2307"/>
      <c r="AK32" s="1691"/>
      <c r="AL32" s="1691"/>
      <c r="AM32" s="336"/>
      <c r="AN32" s="424"/>
      <c r="AO32" s="424"/>
      <c r="AP32" s="424"/>
      <c r="AQ32" s="424"/>
      <c r="AR32" s="424"/>
      <c r="AS32" s="474">
        <v>0</v>
      </c>
    </row>
    <row customHeight="1" ht="14.25" hidden="1">
      <c r="Q33" s="432"/>
      <c r="R33" s="432"/>
      <c r="S33" s="1331"/>
      <c r="T33" s="513"/>
      <c r="U33" s="513"/>
      <c r="V33" s="378"/>
      <c r="W33" s="378"/>
      <c r="X33" s="378"/>
      <c r="Y33" s="378"/>
      <c r="Z33" s="378"/>
      <c r="AA33" s="378"/>
      <c r="AB33" s="378"/>
      <c r="AC33" s="378"/>
      <c r="AD33" s="378"/>
      <c r="AE33" s="378"/>
      <c r="AF33" s="378"/>
      <c r="AG33" s="378"/>
      <c r="AH33" s="378"/>
      <c r="AI33" s="378"/>
      <c r="AJ33" s="378"/>
      <c r="AK33" s="378"/>
      <c r="AL33" s="1691"/>
      <c r="AS33" s="1687">
        <v>0</v>
      </c>
    </row>
    <row s="2983" customFormat="1" customHeight="1" ht="18.75" hidden="1">
      <c r="A34" s="1304"/>
      <c r="B34" s="1304"/>
      <c r="C34" s="1304"/>
      <c r="D34" s="1304"/>
      <c r="E34" s="1304"/>
      <c r="F34" s="1304"/>
      <c r="G34" s="1304"/>
      <c r="H34" s="1304"/>
      <c r="I34" s="1304"/>
      <c r="J34" s="1304"/>
      <c r="K34" s="1304"/>
      <c r="L34" s="1436"/>
      <c r="M34" s="1304"/>
      <c r="N34" s="1304"/>
      <c r="O34" s="1304"/>
      <c r="S34" s="2306" t="s">
        <v>555</v>
      </c>
      <c r="T34" s="2306"/>
      <c r="U34" s="1428"/>
      <c r="V34" s="2320" t="str">
        <f>IF(TITLE_DATE_PR_CHANGE="",IF(TITLE_DATE_PR="","",TITLE_DATE_PR),TITLE_DATE_PR_CHANGE)</f>
        <v>45645</v>
      </c>
      <c r="W34" s="2320"/>
      <c r="X34" s="2320"/>
      <c r="Y34" s="2320"/>
      <c r="Z34" s="2320"/>
      <c r="AA34" s="2320"/>
      <c r="AB34" s="2320"/>
      <c r="AC34" s="1691"/>
      <c r="AD34" s="2320" t="str">
        <f>IF(TITLE_DATE_PR_CHANGE="",IF(TITLE_DATE_PR="","",TITLE_DATE_PR),TITLE_DATE_PR_CHANGE)</f>
        <v>45645</v>
      </c>
      <c r="AE34" s="2320"/>
      <c r="AF34" s="2320"/>
      <c r="AG34" s="2320"/>
      <c r="AH34" s="2320"/>
      <c r="AI34" s="2320"/>
      <c r="AJ34" s="2320"/>
      <c r="AK34" s="1691"/>
      <c r="AL34" s="1691"/>
      <c r="AM34" s="336"/>
      <c r="AN34" s="424"/>
      <c r="AO34" s="424"/>
      <c r="AP34" s="424"/>
      <c r="AQ34" s="424"/>
      <c r="AR34" s="424"/>
      <c r="AS34" s="474">
        <v>0</v>
      </c>
    </row>
    <row s="2983" customFormat="1" customHeight="1" ht="18.75" hidden="1">
      <c r="A35" s="1304"/>
      <c r="B35" s="1304"/>
      <c r="C35" s="1304"/>
      <c r="D35" s="1304"/>
      <c r="E35" s="1304"/>
      <c r="F35" s="1304"/>
      <c r="G35" s="1304"/>
      <c r="H35" s="1304"/>
      <c r="I35" s="1304"/>
      <c r="J35" s="1304"/>
      <c r="K35" s="1304"/>
      <c r="L35" s="1436"/>
      <c r="M35" s="1304"/>
      <c r="N35" s="1304"/>
      <c r="O35" s="1304"/>
      <c r="S35" s="2306" t="s">
        <v>556</v>
      </c>
      <c r="T35" s="2306"/>
      <c r="U35" s="1428"/>
      <c r="V35" s="2307" t="str">
        <f>IF(TITLE_NUMBER_PR_CHANGE="",IF(TITLE_NUMBER_PR="","",TITLE_NUMBER_PR),TITLE_NUMBER_PR_CHANGE)</f>
        <v>208-вод</v>
      </c>
      <c r="W35" s="2307"/>
      <c r="X35" s="2307"/>
      <c r="Y35" s="2307"/>
      <c r="Z35" s="2307"/>
      <c r="AA35" s="2307"/>
      <c r="AB35" s="2307"/>
      <c r="AC35" s="1691"/>
      <c r="AD35" s="2307" t="str">
        <f>IF(TITLE_NUMBER_PR_CHANGE="",IF(TITLE_NUMBER_PR="","",TITLE_NUMBER_PR),TITLE_NUMBER_PR_CHANGE)</f>
        <v>208-вод</v>
      </c>
      <c r="AE35" s="2307"/>
      <c r="AF35" s="2307"/>
      <c r="AG35" s="2307"/>
      <c r="AH35" s="2307"/>
      <c r="AI35" s="2307"/>
      <c r="AJ35" s="2307"/>
      <c r="AK35" s="1691"/>
      <c r="AL35" s="1691"/>
      <c r="AM35" s="336"/>
      <c r="AN35" s="424"/>
      <c r="AO35" s="424"/>
      <c r="AP35" s="424"/>
      <c r="AQ35" s="424"/>
      <c r="AR35" s="424"/>
      <c r="AS35" s="474">
        <v>0</v>
      </c>
    </row>
    <row s="2983" customFormat="1" customHeight="1" ht="0">
      <c r="A36" s="1304"/>
      <c r="B36" s="1304"/>
      <c r="C36" s="1304"/>
      <c r="D36" s="1304"/>
      <c r="E36" s="1304"/>
      <c r="F36" s="1304"/>
      <c r="G36" s="1304"/>
      <c r="H36" s="1304"/>
      <c r="I36" s="1304"/>
      <c r="J36" s="1304"/>
      <c r="K36" s="1304"/>
      <c r="L36" s="1436"/>
      <c r="M36" s="1304"/>
      <c r="N36" s="1304"/>
      <c r="O36" s="1304"/>
      <c r="S36" s="1691"/>
      <c r="T36" s="1691"/>
      <c r="U36" s="2026"/>
      <c r="V36" s="1691"/>
      <c r="W36" s="1691"/>
      <c r="X36" s="1691"/>
      <c r="Y36" s="1691"/>
      <c r="Z36" s="1691"/>
      <c r="AA36" s="1691"/>
      <c r="AB36" s="1691"/>
      <c r="AC36" s="1698" t="s">
        <v>557</v>
      </c>
      <c r="AD36" s="1691"/>
      <c r="AE36" s="1691"/>
      <c r="AF36" s="1691"/>
      <c r="AG36" s="1691"/>
      <c r="AH36" s="1691"/>
      <c r="AI36" s="1691"/>
      <c r="AJ36" s="1691"/>
      <c r="AK36" s="1698" t="s">
        <v>557</v>
      </c>
      <c r="AN36" s="424"/>
      <c r="AO36" s="424"/>
      <c r="AP36" s="424"/>
      <c r="AQ36" s="424"/>
      <c r="AR36" s="424"/>
      <c r="AS36" s="474">
        <v>0</v>
      </c>
    </row>
    <row customHeight="1" ht="14.699999999999998">
      <c r="Q37" s="432"/>
      <c r="R37" s="432"/>
      <c r="S37" s="1331"/>
      <c r="T37" s="513"/>
      <c r="U37" s="1300"/>
      <c r="V37" s="2308"/>
      <c r="W37" s="2308"/>
      <c r="X37" s="2308"/>
      <c r="Y37" s="2308"/>
      <c r="Z37" s="2308"/>
      <c r="AA37" s="2308"/>
      <c r="AB37" s="2308"/>
      <c r="AC37" s="2308"/>
      <c r="AD37" s="2308"/>
      <c r="AE37" s="2308"/>
      <c r="AF37" s="2308"/>
      <c r="AG37" s="2308"/>
      <c r="AH37" s="2308"/>
      <c r="AI37" s="2308"/>
      <c r="AJ37" s="2308"/>
      <c r="AK37" s="2308"/>
      <c r="AS37" s="1687">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687">
        <v>14</v>
      </c>
    </row>
    <row customHeight="1" ht="14.699999999999998">
      <c r="Q39" s="432"/>
      <c r="R39" s="432"/>
      <c r="S39" s="2329" t="s">
        <v>92</v>
      </c>
      <c r="T39" s="2265" t="s">
        <v>558</v>
      </c>
      <c r="U39" s="393"/>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687">
        <v>14</v>
      </c>
    </row>
    <row customHeight="1" ht="35.699999999999996">
      <c r="Q40" s="432"/>
      <c r="R40" s="432"/>
      <c r="S40" s="2329"/>
      <c r="T40" s="2265"/>
      <c r="U40" s="1087"/>
      <c r="V40" s="2316" t="s">
        <v>563</v>
      </c>
      <c r="W40" s="2339" t="s">
        <v>564</v>
      </c>
      <c r="X40" s="2318" t="s">
        <v>565</v>
      </c>
      <c r="Y40" s="2319"/>
      <c r="Z40" s="2318" t="s">
        <v>578</v>
      </c>
      <c r="AA40" s="2325"/>
      <c r="AB40" s="2319"/>
      <c r="AC40" s="2334"/>
      <c r="AD40" s="2316" t="s">
        <v>563</v>
      </c>
      <c r="AE40" s="2339" t="s">
        <v>564</v>
      </c>
      <c r="AF40" s="2318" t="s">
        <v>565</v>
      </c>
      <c r="AG40" s="2319"/>
      <c r="AH40" s="2318" t="s">
        <v>566</v>
      </c>
      <c r="AI40" s="2325"/>
      <c r="AJ40" s="2319"/>
      <c r="AK40" s="2334"/>
      <c r="AL40" s="2337"/>
      <c r="AM40" s="2183"/>
      <c r="AS40" s="1687">
        <v>34</v>
      </c>
    </row>
    <row customHeight="1" ht="35.699999999999996">
      <c r="A41" s="1322"/>
      <c r="B41" s="1322" t="s">
        <v>214</v>
      </c>
      <c r="C41" s="1322" t="s">
        <v>215</v>
      </c>
      <c r="D41" s="1322" t="s">
        <v>216</v>
      </c>
      <c r="E41" s="1366" t="s">
        <v>567</v>
      </c>
      <c r="F41" s="1366" t="s">
        <v>568</v>
      </c>
      <c r="G41" s="1366" t="s">
        <v>569</v>
      </c>
      <c r="H41" s="1366" t="s">
        <v>570</v>
      </c>
      <c r="I41" s="1366" t="s">
        <v>571</v>
      </c>
      <c r="J41" s="1366" t="s">
        <v>572</v>
      </c>
      <c r="K41" s="1366" t="s">
        <v>573</v>
      </c>
      <c r="L41" s="1366" t="s">
        <v>548</v>
      </c>
      <c r="Q41" s="432"/>
      <c r="R41" s="432"/>
      <c r="S41" s="2329"/>
      <c r="T41" s="2265"/>
      <c r="U41" s="358"/>
      <c r="V41" s="2317"/>
      <c r="W41" s="2340"/>
      <c r="X41" s="1994" t="s">
        <v>574</v>
      </c>
      <c r="Y41" s="1994" t="s">
        <v>575</v>
      </c>
      <c r="Z41" s="1994" t="s">
        <v>576</v>
      </c>
      <c r="AA41" s="2326" t="s">
        <v>577</v>
      </c>
      <c r="AB41" s="2327"/>
      <c r="AC41" s="2335"/>
      <c r="AD41" s="2317"/>
      <c r="AE41" s="2340"/>
      <c r="AF41" s="1994" t="s">
        <v>574</v>
      </c>
      <c r="AG41" s="1994" t="s">
        <v>575</v>
      </c>
      <c r="AH41" s="1994" t="s">
        <v>576</v>
      </c>
      <c r="AI41" s="2326" t="s">
        <v>577</v>
      </c>
      <c r="AJ41" s="2327"/>
      <c r="AK41" s="2335"/>
      <c r="AL41" s="2338"/>
      <c r="AM41" s="2183"/>
      <c r="AS41" s="1687">
        <v>34</v>
      </c>
    </row>
    <row s="3442" customFormat="1" customHeight="1" ht="11.25" hidden="1">
      <c r="A42" s="1322"/>
      <c r="B42" s="1322"/>
      <c r="C42" s="1322"/>
      <c r="D42" s="1322"/>
      <c r="E42" s="1322"/>
      <c r="F42" s="1322"/>
      <c r="G42" s="1322"/>
      <c r="H42" s="1322"/>
      <c r="I42" s="1322"/>
      <c r="J42" s="1322"/>
      <c r="K42" s="1322"/>
      <c r="L42" s="1366"/>
      <c r="M42" s="2021"/>
      <c r="N42" s="2021"/>
      <c r="O42" s="2021"/>
      <c r="P42" s="1302"/>
      <c r="Q42" s="1303"/>
      <c r="R42" s="1310">
        <v>1</v>
      </c>
      <c r="S42" s="1333" t="s">
        <v>191</v>
      </c>
      <c r="T42" s="1311" t="s">
        <v>108</v>
      </c>
      <c r="U42" s="1301" t="str">
        <f>OFFSET(U42,0,-1)</f>
        <v>2</v>
      </c>
      <c r="V42" s="2012">
        <f>OFFSET(V42,0,-1)+1</f>
        <v>3</v>
      </c>
      <c r="W42" s="2012"/>
      <c r="X42" s="2012">
        <f>OFFSET(X42,0,-1)+1</f>
        <v>1</v>
      </c>
      <c r="Y42" s="2012">
        <f>OFFSET(Y42,0,-1)+1</f>
        <v>2</v>
      </c>
      <c r="Z42" s="2012">
        <f>OFFSET(Z42,0,-1)+1</f>
        <v>3</v>
      </c>
      <c r="AA42" s="2328">
        <f>OFFSET(AA42,0,-1)+1</f>
        <v>4</v>
      </c>
      <c r="AB42" s="2328"/>
      <c r="AC42" s="2012">
        <f>OFFSET(AC42,0,-2)+1</f>
        <v>5</v>
      </c>
      <c r="AD42" s="2012">
        <f>OFFSET(AD42,0,-1)+1</f>
        <v>6</v>
      </c>
      <c r="AE42" s="2012"/>
      <c r="AF42" s="2012">
        <f>OFFSET(AF42,0,-1)+1</f>
        <v>1</v>
      </c>
      <c r="AG42" s="2012">
        <f>OFFSET(AG42,0,-1)+1</f>
        <v>2</v>
      </c>
      <c r="AH42" s="2012">
        <f>OFFSET(AH42,0,-1)+1</f>
        <v>3</v>
      </c>
      <c r="AI42" s="2328">
        <f>OFFSET(AI42,0,-1)+1</f>
        <v>4</v>
      </c>
      <c r="AJ42" s="2328"/>
      <c r="AK42" s="2012">
        <f>OFFSET(AK42,0,-2)+1</f>
        <v>5</v>
      </c>
      <c r="AL42" s="1301">
        <f>OFFSET(AL42,0,-1)</f>
        <v>5</v>
      </c>
      <c r="AM42" s="2012">
        <f>OFFSET(AM42,0,-1)+1</f>
        <v>6</v>
      </c>
      <c r="AN42" s="1692"/>
      <c r="AO42" s="1692"/>
      <c r="AP42" s="1692"/>
      <c r="AQ42" s="1692"/>
      <c r="AR42" s="1692"/>
      <c r="AS42" s="1697">
        <v>0</v>
      </c>
    </row>
    <row customHeight="1" ht="22.049999999999997">
      <c r="A43" s="1323" t="s">
        <v>283</v>
      </c>
      <c r="B43" s="1323"/>
      <c r="C43" s="1323"/>
      <c r="D43" s="1323"/>
      <c r="E43" s="2345">
        <v>1</v>
      </c>
      <c r="F43" s="1323"/>
      <c r="G43" s="1323"/>
      <c r="H43" s="1323"/>
      <c r="I43" s="1323"/>
      <c r="J43" s="1323"/>
      <c r="K43" s="1323"/>
      <c r="L43" s="1366"/>
      <c r="M43" s="1666"/>
      <c r="N43" s="1666"/>
      <c r="O43" s="1666"/>
      <c r="P43" s="1646"/>
      <c r="Q43" s="416"/>
      <c r="R43" s="411"/>
      <c r="S43" s="2014">
        <f>INDEX(PT_DIFFERENTIATION_NUM_NTAR,MATCH(A43,PT_DIFFERENTIATION_NTAR_ID,0))</f>
        <v>0</v>
      </c>
      <c r="T43" s="1581"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80"/>
      <c r="AP43" s="1680" t="str">
        <f>IF(T43="","",T43)</f>
        <v>Наименование тарифа</v>
      </c>
      <c r="AQ43" s="1680"/>
      <c r="AR43" s="1680"/>
      <c r="AS43" s="1687">
        <v>21</v>
      </c>
    </row>
    <row customHeight="1" ht="22.049999999999997">
      <c r="A44" s="1323" t="s">
        <v>283</v>
      </c>
      <c r="B44" s="1323" t="s">
        <v>284</v>
      </c>
      <c r="C44" s="1323"/>
      <c r="D44" s="1323"/>
      <c r="E44" s="2346"/>
      <c r="F44" s="2345">
        <v>1</v>
      </c>
      <c r="G44" s="1323"/>
      <c r="H44" s="1323"/>
      <c r="I44" s="1323"/>
      <c r="J44" s="1323"/>
      <c r="K44" s="1323"/>
      <c r="L44" s="1366"/>
      <c r="M44" s="1666"/>
      <c r="N44" s="1666"/>
      <c r="O44" s="1666"/>
      <c r="P44" s="1996"/>
      <c r="Q44" s="408"/>
      <c r="R44" s="409"/>
      <c r="S44" s="2014" t="str">
        <f>INDEX(PT_DIFFERENTIATION_NUM_TER,MATCH(B44,PT_DIFFERENTIATION_TER_ID,0))</f>
        <v>.</v>
      </c>
      <c r="T44" s="1578"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1680"/>
      <c r="AP44" s="1680" t="str">
        <f>IF(T44="","",T44)</f>
        <v>Территория действия тарифа</v>
      </c>
      <c r="AQ44" s="1680"/>
      <c r="AR44" s="1680"/>
      <c r="AS44" s="1687">
        <v>21</v>
      </c>
    </row>
    <row customHeight="1" ht="24">
      <c r="A45" s="1323" t="s">
        <v>283</v>
      </c>
      <c r="B45" s="1323" t="s">
        <v>284</v>
      </c>
      <c r="C45" s="1323" t="s">
        <v>285</v>
      </c>
      <c r="D45" s="1323"/>
      <c r="E45" s="2346"/>
      <c r="F45" s="2346"/>
      <c r="G45" s="2345">
        <v>1</v>
      </c>
      <c r="H45" s="1323"/>
      <c r="I45" s="1323"/>
      <c r="J45" s="1323"/>
      <c r="K45" s="1323"/>
      <c r="L45" s="1366"/>
      <c r="M45" s="1666"/>
      <c r="N45" s="1666"/>
      <c r="O45" s="1666"/>
      <c r="P45" s="410"/>
      <c r="Q45" s="408"/>
      <c r="R45" s="409"/>
      <c r="S45" s="2014"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1680"/>
      <c r="AP45" s="1680" t="str">
        <f>IF(T45="","",T45)</f>
        <v>Наименование системы теплоснабжения </v>
      </c>
      <c r="AQ45" s="1680"/>
      <c r="AR45" s="1680"/>
      <c r="AS45" s="1687">
        <v>23</v>
      </c>
    </row>
    <row customHeight="1" ht="22.049999999999997">
      <c r="A46" s="1323" t="s">
        <v>283</v>
      </c>
      <c r="B46" s="1323" t="s">
        <v>284</v>
      </c>
      <c r="C46" s="1323" t="s">
        <v>285</v>
      </c>
      <c r="D46" s="1323" t="s">
        <v>286</v>
      </c>
      <c r="E46" s="2346"/>
      <c r="F46" s="2346"/>
      <c r="G46" s="2346"/>
      <c r="H46" s="2345">
        <v>1</v>
      </c>
      <c r="I46" s="1323"/>
      <c r="J46" s="1323"/>
      <c r="K46" s="1323"/>
      <c r="L46" s="1366"/>
      <c r="M46" s="1666"/>
      <c r="N46" s="1666"/>
      <c r="O46" s="1666"/>
      <c r="P46" s="410"/>
      <c r="Q46" s="408"/>
      <c r="R46" s="409"/>
      <c r="S46" s="2014"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1680"/>
      <c r="AP46" s="1680" t="str">
        <f>IF(T46="","",T46)</f>
        <v>Источник тепловой энергии  </v>
      </c>
      <c r="AQ46" s="1680"/>
      <c r="AR46" s="1680"/>
      <c r="AS46" s="1687">
        <v>21</v>
      </c>
    </row>
    <row customHeight="1" ht="49.5">
      <c r="A47" s="1323" t="s">
        <v>283</v>
      </c>
      <c r="B47" s="1323" t="s">
        <v>284</v>
      </c>
      <c r="C47" s="1323" t="s">
        <v>285</v>
      </c>
      <c r="D47" s="1323" t="s">
        <v>286</v>
      </c>
      <c r="E47" s="2346"/>
      <c r="F47" s="2346"/>
      <c r="G47" s="2346"/>
      <c r="H47" s="2346"/>
      <c r="I47" s="2183" t="str">
        <f>S46&amp;".1"</f>
        <v>....1</v>
      </c>
      <c r="J47" s="1323"/>
      <c r="K47" s="1323"/>
      <c r="L47" s="1366" t="s">
        <v>535</v>
      </c>
      <c r="P47" s="2313">
        <v>1</v>
      </c>
      <c r="Q47" s="2010"/>
      <c r="R47" s="412"/>
      <c r="S47" s="2014" t="str">
        <f>$I47</f>
        <v>....1</v>
      </c>
      <c r="T47" s="341" t="s">
        <v>536</v>
      </c>
      <c r="U47" s="356"/>
      <c r="V47" s="2301"/>
      <c r="W47" s="2302"/>
      <c r="X47" s="2302"/>
      <c r="Y47" s="2302"/>
      <c r="Z47" s="2302"/>
      <c r="AA47" s="2302"/>
      <c r="AB47" s="2302"/>
      <c r="AC47" s="2303"/>
      <c r="AD47" s="2301"/>
      <c r="AE47" s="2302"/>
      <c r="AF47" s="2302"/>
      <c r="AG47" s="2302"/>
      <c r="AH47" s="2302"/>
      <c r="AI47" s="2302"/>
      <c r="AJ47" s="2302"/>
      <c r="AK47" s="2302"/>
      <c r="AL47" s="2303"/>
      <c r="AM47" s="1314" t="s">
        <v>537</v>
      </c>
      <c r="AO47" s="1680"/>
      <c r="AP47" s="1680" t="str">
        <f>IF(T47="","",T47)</f>
        <v>Схема подключения теплопотребляющей установки к коллектору источника тепловой энергии</v>
      </c>
      <c r="AQ47" s="1680"/>
      <c r="AR47" s="1680"/>
      <c r="AS47" s="1687">
        <v>47</v>
      </c>
    </row>
    <row customHeight="1" ht="22.049999999999997">
      <c r="A48" s="1323" t="s">
        <v>283</v>
      </c>
      <c r="B48" s="1323" t="s">
        <v>284</v>
      </c>
      <c r="C48" s="1323" t="s">
        <v>285</v>
      </c>
      <c r="D48" s="1323" t="s">
        <v>286</v>
      </c>
      <c r="E48" s="2346"/>
      <c r="F48" s="2346"/>
      <c r="G48" s="2346"/>
      <c r="H48" s="2346"/>
      <c r="I48" s="2157"/>
      <c r="J48" s="2183" t="str">
        <f>I47&amp;".1"</f>
        <v>....1.1</v>
      </c>
      <c r="K48" s="1323"/>
      <c r="L48" s="1366" t="s">
        <v>538</v>
      </c>
      <c r="P48" s="2313"/>
      <c r="Q48" s="2313">
        <v>1</v>
      </c>
      <c r="R48" s="413"/>
      <c r="S48" s="2014" t="str">
        <f>$J48</f>
        <v>....1.1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1680"/>
      <c r="AP48" s="1680" t="str">
        <f>IF(T48="","",T48)</f>
        <v>Группа потребителей</v>
      </c>
      <c r="AQ48" s="1680"/>
      <c r="AR48" s="1680"/>
      <c r="AS48" s="1687">
        <v>21</v>
      </c>
    </row>
    <row customHeight="1" ht="22.049999999999997">
      <c r="A49" s="1323" t="s">
        <v>283</v>
      </c>
      <c r="B49" s="1323" t="s">
        <v>284</v>
      </c>
      <c r="C49" s="1323" t="s">
        <v>285</v>
      </c>
      <c r="D49" s="1323" t="s">
        <v>286</v>
      </c>
      <c r="E49" s="2346"/>
      <c r="F49" s="2346"/>
      <c r="G49" s="2346"/>
      <c r="H49" s="2346"/>
      <c r="I49" s="2157"/>
      <c r="J49" s="2157"/>
      <c r="K49" s="2183" t="str">
        <f>J48&amp;".1"</f>
        <v>....1.1.1</v>
      </c>
      <c r="L49" s="1366" t="s">
        <v>541</v>
      </c>
      <c r="P49" s="2313"/>
      <c r="Q49" s="2313"/>
      <c r="R49" s="413">
        <v>1</v>
      </c>
      <c r="S49" s="2014" t="str">
        <f>$K49</f>
        <v>....1.1.1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542</v>
      </c>
      <c r="AN49" s="1692">
        <f>STRCHECKDATE(V50:AL50)</f>
      </c>
      <c r="AO49" s="1680"/>
      <c r="AP49" s="1680" t="str">
        <f>IF(T49="","",T49)</f>
        <v/>
      </c>
      <c r="AQ49" s="1680"/>
      <c r="AR49" s="1680"/>
      <c r="AS49" s="1687">
        <v>21</v>
      </c>
    </row>
    <row customHeight="1" ht="1.05">
      <c r="A50" s="1323" t="s">
        <v>283</v>
      </c>
      <c r="B50" s="1323" t="s">
        <v>284</v>
      </c>
      <c r="C50" s="1323" t="s">
        <v>285</v>
      </c>
      <c r="D50" s="1323" t="s">
        <v>286</v>
      </c>
      <c r="E50" s="2346"/>
      <c r="F50" s="2346"/>
      <c r="G50" s="2346"/>
      <c r="H50" s="2346"/>
      <c r="I50" s="2157"/>
      <c r="J50" s="2157"/>
      <c r="K50" s="2183"/>
      <c r="L50" s="1366"/>
      <c r="P50" s="2313"/>
      <c r="Q50" s="2313"/>
      <c r="R50" s="413"/>
      <c r="S50" s="2023"/>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1680"/>
      <c r="AP50" s="1680" t="str">
        <f>IF(T50="","",T50)</f>
        <v/>
      </c>
      <c r="AQ50" s="1680"/>
      <c r="AR50" s="1680"/>
      <c r="AS50" s="1687">
        <v>1</v>
      </c>
    </row>
    <row customHeight="1" ht="11.549999999999999">
      <c r="A51" s="1323" t="s">
        <v>283</v>
      </c>
      <c r="B51" s="1323" t="s">
        <v>284</v>
      </c>
      <c r="C51" s="1323" t="s">
        <v>285</v>
      </c>
      <c r="D51" s="1323" t="s">
        <v>286</v>
      </c>
      <c r="E51" s="2346"/>
      <c r="F51" s="2346"/>
      <c r="G51" s="2346"/>
      <c r="H51" s="2346"/>
      <c r="I51" s="2157"/>
      <c r="J51" s="2183"/>
      <c r="K51" s="1323"/>
      <c r="L51" s="1366"/>
      <c r="P51" s="2313"/>
      <c r="Q51" s="2313"/>
      <c r="R51" s="412"/>
      <c r="S51" s="1334"/>
      <c r="T51" s="344" t="s">
        <v>543</v>
      </c>
      <c r="U51" s="656"/>
      <c r="V51" s="656"/>
      <c r="W51" s="656"/>
      <c r="X51" s="656"/>
      <c r="Y51" s="656"/>
      <c r="Z51" s="656"/>
      <c r="AA51" s="656"/>
      <c r="AB51" s="656"/>
      <c r="AC51" s="656"/>
      <c r="AD51" s="656"/>
      <c r="AE51" s="656"/>
      <c r="AF51" s="656"/>
      <c r="AG51" s="656"/>
      <c r="AH51" s="656"/>
      <c r="AI51" s="656"/>
      <c r="AJ51" s="656"/>
      <c r="AK51" s="656"/>
      <c r="AL51" s="380"/>
      <c r="AM51" s="2311"/>
      <c r="AO51" s="1680"/>
      <c r="AP51" s="1680" t="str">
        <f>IF(T51="","",T51)</f>
        <v>Добавить вид теплоносителя (параметры теплоносителя)</v>
      </c>
      <c r="AQ51" s="1680"/>
      <c r="AR51" s="1680"/>
      <c r="AS51" s="1687">
        <v>11</v>
      </c>
    </row>
    <row customHeight="1" ht="11.549999999999999">
      <c r="A52" s="1323" t="s">
        <v>283</v>
      </c>
      <c r="B52" s="1323" t="s">
        <v>284</v>
      </c>
      <c r="C52" s="1323" t="s">
        <v>285</v>
      </c>
      <c r="D52" s="1323" t="s">
        <v>286</v>
      </c>
      <c r="E52" s="2346"/>
      <c r="F52" s="2346"/>
      <c r="G52" s="2346"/>
      <c r="H52" s="2346"/>
      <c r="I52" s="2183"/>
      <c r="J52" s="1323"/>
      <c r="K52" s="1323"/>
      <c r="L52" s="1366"/>
      <c r="P52" s="2313"/>
      <c r="Q52" s="2010"/>
      <c r="R52" s="412"/>
      <c r="S52" s="1334"/>
      <c r="T52" s="343" t="s">
        <v>544</v>
      </c>
      <c r="U52" s="656"/>
      <c r="V52" s="656"/>
      <c r="W52" s="656"/>
      <c r="X52" s="656"/>
      <c r="Y52" s="656"/>
      <c r="Z52" s="656"/>
      <c r="AA52" s="656"/>
      <c r="AB52" s="656"/>
      <c r="AC52" s="422"/>
      <c r="AD52" s="656"/>
      <c r="AE52" s="656"/>
      <c r="AF52" s="656"/>
      <c r="AG52" s="656"/>
      <c r="AH52" s="656"/>
      <c r="AI52" s="656"/>
      <c r="AJ52" s="656"/>
      <c r="AK52" s="422"/>
      <c r="AL52" s="656"/>
      <c r="AM52" s="359"/>
      <c r="AO52" s="1680"/>
      <c r="AP52" s="1680" t="str">
        <f>IF(T52="","",T52)</f>
        <v>Добавить группу потребителей</v>
      </c>
      <c r="AQ52" s="1680"/>
      <c r="AR52" s="1680"/>
      <c r="AS52" s="1687">
        <v>11</v>
      </c>
    </row>
    <row customHeight="1" ht="14.699999999999998">
      <c r="A53" s="1323" t="s">
        <v>283</v>
      </c>
      <c r="B53" s="1323" t="s">
        <v>284</v>
      </c>
      <c r="C53" s="1323" t="s">
        <v>285</v>
      </c>
      <c r="D53" s="1323" t="s">
        <v>286</v>
      </c>
      <c r="E53" s="2346"/>
      <c r="F53" s="2346"/>
      <c r="G53" s="2346"/>
      <c r="H53" s="2345"/>
      <c r="I53" s="1323"/>
      <c r="J53" s="1323"/>
      <c r="K53" s="1323"/>
      <c r="L53" s="1366"/>
      <c r="M53" s="1666"/>
      <c r="N53" s="1666"/>
      <c r="O53" s="1691"/>
      <c r="P53" s="416"/>
      <c r="Q53" s="431"/>
      <c r="R53" s="411"/>
      <c r="S53" s="1334"/>
      <c r="T53" s="421" t="s">
        <v>545</v>
      </c>
      <c r="U53" s="656"/>
      <c r="V53" s="656"/>
      <c r="W53" s="656"/>
      <c r="X53" s="656"/>
      <c r="Y53" s="656"/>
      <c r="Z53" s="656"/>
      <c r="AA53" s="656"/>
      <c r="AB53" s="656"/>
      <c r="AC53" s="422"/>
      <c r="AD53" s="656"/>
      <c r="AE53" s="656"/>
      <c r="AF53" s="656"/>
      <c r="AG53" s="656"/>
      <c r="AH53" s="656"/>
      <c r="AI53" s="656"/>
      <c r="AJ53" s="656"/>
      <c r="AK53" s="422"/>
      <c r="AL53" s="656"/>
      <c r="AM53" s="359"/>
      <c r="AO53" s="1680"/>
      <c r="AP53" s="1680" t="str">
        <f>IF(T53="","",T53)</f>
        <v>Добавить схему подключения</v>
      </c>
      <c r="AQ53" s="1680"/>
      <c r="AR53" s="1680"/>
      <c r="AS53" s="1687">
        <v>14</v>
      </c>
    </row>
    <row s="2851" customFormat="1" customHeight="1" ht="1.05">
      <c r="A54" s="1323" t="s">
        <v>283</v>
      </c>
      <c r="B54" s="1323" t="s">
        <v>284</v>
      </c>
      <c r="C54" s="1323" t="s">
        <v>285</v>
      </c>
      <c r="D54" s="2030"/>
      <c r="E54" s="2346"/>
      <c r="F54" s="2346"/>
      <c r="G54" s="2345"/>
      <c r="H54" s="2030"/>
      <c r="I54" s="2030"/>
      <c r="J54" s="2030"/>
      <c r="K54" s="2030"/>
      <c r="L54" s="1436"/>
      <c r="M54" s="1666"/>
      <c r="N54" s="1666"/>
      <c r="O54" s="169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1307"/>
      <c r="AP54" s="1307" t="str">
        <f>IF(T54="","",T54)</f>
        <v>Добавить источник для дифференциации</v>
      </c>
      <c r="AQ54" s="1307"/>
      <c r="AR54" s="1307"/>
      <c r="AS54" s="1698">
        <v>1</v>
      </c>
    </row>
    <row s="2851" customFormat="1" customHeight="1" ht="1.05">
      <c r="A55" s="1323" t="s">
        <v>283</v>
      </c>
      <c r="B55" s="1323" t="s">
        <v>284</v>
      </c>
      <c r="C55" s="2030"/>
      <c r="D55" s="2030"/>
      <c r="E55" s="2346"/>
      <c r="F55" s="2345"/>
      <c r="G55" s="2030"/>
      <c r="H55" s="2030"/>
      <c r="I55" s="2030"/>
      <c r="J55" s="2030"/>
      <c r="K55" s="2030"/>
      <c r="L55" s="1436"/>
      <c r="M55" s="2031"/>
      <c r="N55" s="2031"/>
      <c r="O55" s="1691"/>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1307"/>
      <c r="AP55" s="1307" t="str">
        <f>IF(T55="","",T55)</f>
        <v>Добавить централизованную систему для дифференциации</v>
      </c>
      <c r="AQ55" s="1307"/>
      <c r="AR55" s="1307"/>
      <c r="AS55" s="1698">
        <v>1</v>
      </c>
    </row>
    <row s="2851" customFormat="1" customHeight="1" ht="1.05">
      <c r="A56" s="1323" t="s">
        <v>283</v>
      </c>
      <c r="B56" s="1323"/>
      <c r="C56" s="1323"/>
      <c r="D56" s="1323"/>
      <c r="E56" s="2345"/>
      <c r="F56" s="1323"/>
      <c r="G56" s="1323"/>
      <c r="H56" s="1323"/>
      <c r="I56" s="1323"/>
      <c r="J56" s="1323"/>
      <c r="K56" s="1323"/>
      <c r="L56" s="1366"/>
      <c r="M56" s="2031"/>
      <c r="N56" s="2031"/>
      <c r="O56" s="1691"/>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1680"/>
      <c r="AP56" s="1680" t="str">
        <f>IF(T56="","",T56)</f>
        <v>Добавить территорию для дифференциации</v>
      </c>
      <c r="AQ56" s="1680"/>
      <c r="AR56" s="1680"/>
      <c r="AS56" s="1692">
        <v>1</v>
      </c>
    </row>
    <row s="2851" customFormat="1" customHeight="1" ht="1.05">
      <c r="A57" s="2030"/>
      <c r="B57" s="2030"/>
      <c r="C57" s="2030"/>
      <c r="D57" s="2030"/>
      <c r="E57" s="1323"/>
      <c r="F57" s="2030"/>
      <c r="G57" s="2030"/>
      <c r="H57" s="2030"/>
      <c r="I57" s="2030"/>
      <c r="J57" s="2030"/>
      <c r="K57" s="2030"/>
      <c r="L57" s="1436"/>
      <c r="M57" s="2031"/>
      <c r="N57" s="2031"/>
      <c r="O57" s="1691"/>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1307"/>
      <c r="AP57" s="1307" t="str">
        <f>IF(T57="","",T57)</f>
        <v>Добавить наименование тарифа</v>
      </c>
      <c r="AQ57" s="1307"/>
      <c r="AR57" s="1307"/>
      <c r="AS57" s="1698">
        <v>1</v>
      </c>
    </row>
    <row customHeight="1" ht="11.549999999999999">
      <c r="M58" s="1687"/>
      <c r="N58" s="1687"/>
      <c r="O58" s="1691"/>
      <c r="P58" s="1687"/>
      <c r="Q58" s="1687"/>
      <c r="R58" s="1687"/>
      <c r="S58" s="1687"/>
      <c r="AN58" s="1687"/>
      <c r="AO58" s="1687"/>
      <c r="AP58" s="1687"/>
      <c r="AQ58" s="1687"/>
      <c r="AR58" s="1687"/>
      <c r="AS58" s="1687">
        <v>11</v>
      </c>
    </row>
    <row customHeight="1" ht="28.5">
      <c r="O59" s="1691"/>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687">
        <v>27</v>
      </c>
    </row>
    <row customHeight="1" ht="65.25">
      <c r="O60" s="1691"/>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687">
        <v>62</v>
      </c>
    </row>
    <row customHeight="1" ht="14.699999999999998">
      <c r="O61" s="1691"/>
      <c r="AS61" s="1687">
        <v>14</v>
      </c>
    </row>
    <row customHeight="1" ht="18.75">
      <c r="O62" s="1691"/>
      <c r="S62" s="130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687">
        <v>18</v>
      </c>
    </row>
    <row customHeight="1" ht="18.75">
      <c r="O63" s="1691"/>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687">
        <v>18</v>
      </c>
    </row>
    <row customHeight="1" ht="29.25">
      <c r="O64" s="1691"/>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687">
        <v>28</v>
      </c>
    </row>
    <row customHeight="1" ht="22.5" hidden="1">
      <c r="A65" s="1687" t="s">
        <v>86</v>
      </c>
      <c r="B65" s="1687">
        <v>0</v>
      </c>
      <c r="C65" s="1687">
        <v>0</v>
      </c>
      <c r="D65" s="1687">
        <v>0</v>
      </c>
      <c r="E65" s="1687">
        <v>0</v>
      </c>
      <c r="F65" s="1687">
        <v>0</v>
      </c>
      <c r="G65" s="1687">
        <v>0</v>
      </c>
      <c r="H65" s="1687">
        <v>0</v>
      </c>
      <c r="I65" s="1687">
        <v>0</v>
      </c>
      <c r="J65" s="1687">
        <v>0</v>
      </c>
      <c r="K65" s="1687">
        <v>0</v>
      </c>
      <c r="L65" s="1995">
        <v>0</v>
      </c>
      <c r="M65" s="2021">
        <v>0</v>
      </c>
      <c r="N65" s="2021">
        <v>0</v>
      </c>
      <c r="O65" s="2021">
        <v>0</v>
      </c>
      <c r="P65" s="2021">
        <v>3</v>
      </c>
      <c r="Q65" s="400">
        <v>3</v>
      </c>
      <c r="R65" s="400">
        <v>3</v>
      </c>
      <c r="S65" s="637">
        <v>12</v>
      </c>
      <c r="T65" s="1687">
        <v>31</v>
      </c>
      <c r="U65" s="1687">
        <v>0</v>
      </c>
      <c r="V65" s="1687">
        <v>0</v>
      </c>
      <c r="W65" s="1687">
        <v>0</v>
      </c>
      <c r="X65" s="1687">
        <v>0</v>
      </c>
      <c r="Y65" s="1687">
        <v>0</v>
      </c>
      <c r="Z65" s="1687">
        <v>0</v>
      </c>
      <c r="AA65" s="1687">
        <v>0</v>
      </c>
      <c r="AB65" s="1687">
        <v>0</v>
      </c>
      <c r="AC65" s="1687">
        <v>0</v>
      </c>
      <c r="AD65" s="1687">
        <v>24</v>
      </c>
      <c r="AE65" s="1687">
        <v>0</v>
      </c>
      <c r="AF65" s="1687">
        <v>24</v>
      </c>
      <c r="AG65" s="1687">
        <v>24</v>
      </c>
      <c r="AH65" s="1687">
        <v>11</v>
      </c>
      <c r="AI65" s="1687">
        <v>3</v>
      </c>
      <c r="AJ65" s="1687">
        <v>11</v>
      </c>
      <c r="AK65" s="1687">
        <v>0</v>
      </c>
      <c r="AL65" s="1687">
        <v>4</v>
      </c>
      <c r="AM65" s="1687">
        <v>115</v>
      </c>
      <c r="AN65" s="1692">
        <v>10</v>
      </c>
      <c r="AO65" s="1692">
        <v>10</v>
      </c>
      <c r="AP65" s="1692">
        <v>10</v>
      </c>
      <c r="AQ65" s="1692">
        <v>10</v>
      </c>
      <c r="AR65" s="1692">
        <v>10</v>
      </c>
      <c r="AS65" s="1687">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AC5F19-A665-CBC1-EFA4-B09D061EBE71}" mc:Ignorable="x14ac xr xr2 xr3">
  <sheetPr>
    <tabColor theme="6" tint="0.4"/>
  </sheetPr>
  <dimension ref="A1:AS65"/>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1.00390625" customWidth="1"/>
    <col min="21" max="21" style="2774" width="0.7109375" hidden="1" customWidth="1"/>
    <col min="22" max="22" style="2774" width="1.7109375" hidden="1" customWidth="1"/>
    <col min="23" max="23" style="2774" width="24.7109375" hidden="1" customWidth="1"/>
    <col min="24" max="25" style="2774" width="0.14062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0.140625" customWidth="1"/>
    <col min="31" max="31" style="2774" width="24.00390625" customWidth="1"/>
    <col min="32" max="33" style="2774" width="0.14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92">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88"/>
      <c r="Q3" s="408"/>
      <c r="R3" s="409"/>
      <c r="S3" s="1392">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1392">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409"/>
      <c r="S5" s="1392">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556"/>
      <c r="AP5" s="556" t="str">
        <f>IF(T5="","",T5)</f>
        <v>Источник тепловой энергии  </v>
      </c>
      <c r="AQ5" s="556"/>
      <c r="AR5" s="556"/>
      <c r="AS5" s="1211">
        <v>0</v>
      </c>
    </row>
    <row customHeight="1" ht="47.25" hidden="1">
      <c r="A6" s="1419"/>
      <c r="B6" s="1419"/>
      <c r="C6" s="1419"/>
      <c r="D6" s="1419"/>
      <c r="E6" s="2315"/>
      <c r="F6" s="2315"/>
      <c r="G6" s="2315"/>
      <c r="H6" s="2315"/>
      <c r="I6" s="2312">
        <f>S5&amp;".1"</f>
      </c>
      <c r="J6" s="1419"/>
      <c r="K6" s="1419"/>
      <c r="L6" s="1420" t="s">
        <v>535</v>
      </c>
      <c r="M6" s="593"/>
      <c r="P6" s="2313">
        <v>1</v>
      </c>
      <c r="Q6" s="1387"/>
      <c r="R6" s="412"/>
      <c r="S6" s="1392">
        <f>$I6</f>
      </c>
      <c r="T6" s="341" t="s">
        <v>536</v>
      </c>
      <c r="U6" s="356"/>
      <c r="V6" s="2301"/>
      <c r="W6" s="2302"/>
      <c r="X6" s="2302"/>
      <c r="Y6" s="2302"/>
      <c r="Z6" s="2302"/>
      <c r="AA6" s="2302"/>
      <c r="AB6" s="2302"/>
      <c r="AC6" s="2303"/>
      <c r="AD6" s="2301"/>
      <c r="AE6" s="2302"/>
      <c r="AF6" s="2302"/>
      <c r="AG6" s="2302"/>
      <c r="AH6" s="2302"/>
      <c r="AI6" s="2302"/>
      <c r="AJ6" s="2302"/>
      <c r="AK6" s="2302"/>
      <c r="AL6" s="2303"/>
      <c r="AM6" s="1314" t="s">
        <v>537</v>
      </c>
      <c r="AO6" s="556"/>
      <c r="AP6" s="556" t="str">
        <f>IF(T6="","",T6)</f>
        <v>Схема подключения теплопотребляющей установки к коллектору источника тепловой энергии</v>
      </c>
      <c r="AQ6" s="556"/>
      <c r="AR6" s="556"/>
      <c r="AS6" s="1211">
        <v>0</v>
      </c>
    </row>
    <row customHeight="1" ht="21" hidden="1">
      <c r="A7" s="1419"/>
      <c r="B7" s="1419"/>
      <c r="C7" s="1419"/>
      <c r="D7" s="1419"/>
      <c r="E7" s="2315"/>
      <c r="F7" s="2315"/>
      <c r="G7" s="2315"/>
      <c r="H7" s="2315"/>
      <c r="I7" s="2342"/>
      <c r="J7" s="2312">
        <f>I6&amp;".1"</f>
      </c>
      <c r="K7" s="1419"/>
      <c r="L7" s="1420" t="s">
        <v>538</v>
      </c>
      <c r="M7" s="593"/>
      <c r="N7" s="1422"/>
      <c r="P7" s="2313"/>
      <c r="Q7" s="2313">
        <v>1</v>
      </c>
      <c r="R7" s="413"/>
      <c r="S7" s="1392">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556"/>
      <c r="AP7" s="556" t="str">
        <f>IF(T7="","",T7)</f>
        <v>Группа потребителей</v>
      </c>
      <c r="AQ7" s="556"/>
      <c r="AR7" s="556"/>
      <c r="AS7" s="1211">
        <v>0</v>
      </c>
    </row>
    <row customHeight="1" ht="21" hidden="1">
      <c r="A8" s="1419"/>
      <c r="B8" s="1419"/>
      <c r="C8" s="1419"/>
      <c r="D8" s="1419"/>
      <c r="E8" s="2315"/>
      <c r="F8" s="2315"/>
      <c r="G8" s="2315"/>
      <c r="H8" s="2315"/>
      <c r="I8" s="2342"/>
      <c r="J8" s="2342"/>
      <c r="K8" s="2312">
        <f>J7&amp;".1"</f>
      </c>
      <c r="L8" s="1420" t="s">
        <v>541</v>
      </c>
      <c r="M8" s="593"/>
      <c r="N8" s="1422"/>
      <c r="O8" s="1422"/>
      <c r="P8" s="2313"/>
      <c r="Q8" s="2313"/>
      <c r="R8" s="413">
        <v>1</v>
      </c>
      <c r="S8" s="1392">
        <f>$K8</f>
      </c>
      <c r="T8" s="1403"/>
      <c r="U8" s="356"/>
      <c r="V8" s="381"/>
      <c r="W8" s="807"/>
      <c r="X8" s="381"/>
      <c r="Y8" s="440"/>
      <c r="Z8" s="2321"/>
      <c r="AA8" s="2163" t="s">
        <v>65</v>
      </c>
      <c r="AB8" s="2321"/>
      <c r="AC8" s="2163" t="s">
        <v>65</v>
      </c>
      <c r="AD8" s="381"/>
      <c r="AE8" s="807"/>
      <c r="AF8" s="381"/>
      <c r="AG8" s="440"/>
      <c r="AH8" s="2321"/>
      <c r="AI8" s="2163" t="s">
        <v>65</v>
      </c>
      <c r="AJ8" s="2321"/>
      <c r="AK8" s="2163" t="s">
        <v>65</v>
      </c>
      <c r="AL8" s="381"/>
      <c r="AM8" s="2309" t="s">
        <v>542</v>
      </c>
      <c r="AN8" s="567">
        <f>STRCHECKDATE(V9:AL9)</f>
      </c>
      <c r="AO8" s="556"/>
      <c r="AP8" s="556" t="str">
        <f>IF(T8="","",T8)</f>
        <v/>
      </c>
      <c r="AQ8" s="556"/>
      <c r="AR8" s="556"/>
      <c r="AS8" s="1211">
        <v>0</v>
      </c>
    </row>
    <row customHeight="1" ht="0.75" hidden="1">
      <c r="A9" s="1419"/>
      <c r="B9" s="1419"/>
      <c r="C9" s="1419"/>
      <c r="D9" s="1419"/>
      <c r="E9" s="2315"/>
      <c r="F9" s="2315"/>
      <c r="G9" s="2315"/>
      <c r="H9" s="2315"/>
      <c r="I9" s="2342"/>
      <c r="J9" s="2342"/>
      <c r="K9" s="2312"/>
      <c r="L9" s="1420"/>
      <c r="M9" s="593"/>
      <c r="N9" s="1422"/>
      <c r="O9" s="1422"/>
      <c r="P9" s="2313"/>
      <c r="Q9" s="2313"/>
      <c r="R9" s="413"/>
      <c r="S9" s="1398"/>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5" hidden="1">
      <c r="A10" s="1419"/>
      <c r="B10" s="1419"/>
      <c r="C10" s="1419"/>
      <c r="D10" s="1419"/>
      <c r="E10" s="2315"/>
      <c r="F10" s="2315"/>
      <c r="G10" s="2315"/>
      <c r="H10" s="2315"/>
      <c r="I10" s="2342"/>
      <c r="J10" s="2312"/>
      <c r="K10" s="1419"/>
      <c r="L10" s="1420"/>
      <c r="M10" s="593"/>
      <c r="N10" s="1422"/>
      <c r="P10" s="2313"/>
      <c r="Q10" s="2313"/>
      <c r="R10" s="412"/>
      <c r="S10" s="1334"/>
      <c r="T10" s="344"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5" hidden="1">
      <c r="A11" s="1419"/>
      <c r="B11" s="1419"/>
      <c r="C11" s="1419"/>
      <c r="D11" s="1419"/>
      <c r="E11" s="2315"/>
      <c r="F11" s="2315"/>
      <c r="G11" s="2315"/>
      <c r="H11" s="2315"/>
      <c r="I11" s="2312"/>
      <c r="J11" s="1419"/>
      <c r="K11" s="1419"/>
      <c r="L11" s="1420"/>
      <c r="M11" s="593"/>
      <c r="P11" s="2313"/>
      <c r="Q11" s="1387"/>
      <c r="R11" s="412"/>
      <c r="S11" s="1334"/>
      <c r="T11" s="343"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14.25" hidden="1">
      <c r="A12" s="1419"/>
      <c r="B12" s="1419"/>
      <c r="C12" s="1419"/>
      <c r="D12" s="1419"/>
      <c r="E12" s="2315"/>
      <c r="F12" s="2315"/>
      <c r="G12" s="2315"/>
      <c r="H12" s="2314"/>
      <c r="I12" s="1419"/>
      <c r="J12" s="1419"/>
      <c r="K12" s="1419"/>
      <c r="L12" s="1420"/>
      <c r="M12" s="1421"/>
      <c r="N12" s="1421"/>
      <c r="O12" s="593"/>
      <c r="P12" s="416"/>
      <c r="Q12" s="431"/>
      <c r="R12" s="411"/>
      <c r="S12" s="1334"/>
      <c r="T12" s="421" t="s">
        <v>545</v>
      </c>
      <c r="U12" s="423"/>
      <c r="V12" s="423"/>
      <c r="W12" s="423"/>
      <c r="X12" s="423"/>
      <c r="Y12" s="423"/>
      <c r="Z12" s="423"/>
      <c r="AA12" s="423"/>
      <c r="AB12" s="423"/>
      <c r="AC12" s="422"/>
      <c r="AD12" s="423"/>
      <c r="AE12" s="423"/>
      <c r="AF12" s="423"/>
      <c r="AG12" s="423"/>
      <c r="AH12" s="423"/>
      <c r="AI12" s="423"/>
      <c r="AJ12" s="423"/>
      <c r="AK12" s="422"/>
      <c r="AL12" s="423"/>
      <c r="AM12" s="359"/>
      <c r="AO12" s="556"/>
      <c r="AP12" s="556" t="str">
        <f>IF(T12="","",T12)</f>
        <v>Добавить схему подключения</v>
      </c>
      <c r="AQ12" s="556"/>
      <c r="AR12" s="556"/>
      <c r="AS12" s="1211">
        <v>0</v>
      </c>
    </row>
    <row s="2851" customFormat="1" customHeight="1" ht="0.7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0.7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0.7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AD17" s="1416"/>
      <c r="AE17" s="1416"/>
      <c r="AF17" s="1416"/>
      <c r="AG17" s="1417"/>
      <c r="AH17" s="2323"/>
      <c r="AI17" s="2324" t="s">
        <v>65</v>
      </c>
      <c r="AJ17" s="2323"/>
      <c r="AK17" s="2324" t="s">
        <v>65</v>
      </c>
      <c r="AS17" s="1211">
        <v>0</v>
      </c>
    </row>
    <row customHeight="1" ht="14.25" hidden="1">
      <c r="AD18" s="1416"/>
      <c r="AE18" s="1416"/>
      <c r="AF18" s="1416"/>
      <c r="AG18" s="384" t="str">
        <f>AH17&amp;"-"&amp;AJ17</f>
        <v>-</v>
      </c>
      <c r="AH18" s="2324"/>
      <c r="AI18" s="2324"/>
      <c r="AJ18" s="2324"/>
      <c r="AK18" s="2324"/>
      <c r="AS18" s="1211">
        <v>0</v>
      </c>
    </row>
    <row customHeight="1" ht="14.25" hidden="1">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33.7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AS23" s="1211">
        <v>0</v>
      </c>
    </row>
    <row customHeight="1" ht="14.25" hidden="1">
      <c r="O24" s="1420"/>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29.25">
      <c r="Q26" s="432"/>
      <c r="R26" s="432"/>
      <c r="S26" s="230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04"/>
      <c r="U26" s="2304"/>
      <c r="V26" s="2304"/>
      <c r="W26" s="2304"/>
      <c r="X26" s="2304"/>
      <c r="Y26" s="2304"/>
      <c r="Z26" s="2304"/>
      <c r="AA26" s="2304"/>
      <c r="AB26" s="2304"/>
      <c r="AC26" s="2304"/>
      <c r="AD26" s="2304"/>
      <c r="AE26" s="2304"/>
      <c r="AF26" s="2304"/>
      <c r="AG26" s="2304"/>
      <c r="AH26" s="2304"/>
      <c r="AI26" s="2304"/>
      <c r="AJ26" s="2304"/>
      <c r="AK26" s="1299"/>
      <c r="AS26" s="1211">
        <v>28</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18.7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396"/>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47"/>
      <c r="Y39" s="2347"/>
      <c r="Z39" s="2331"/>
      <c r="AA39" s="2331"/>
      <c r="AB39" s="2332"/>
      <c r="AC39" s="2333" t="s">
        <v>560</v>
      </c>
      <c r="AD39" s="2330" t="s">
        <v>559</v>
      </c>
      <c r="AE39" s="2331"/>
      <c r="AF39" s="2347"/>
      <c r="AG39" s="2347"/>
      <c r="AH39" s="2331"/>
      <c r="AI39" s="2331"/>
      <c r="AJ39" s="2332"/>
      <c r="AK39" s="2333" t="s">
        <v>561</v>
      </c>
      <c r="AL39" s="2336" t="s">
        <v>562</v>
      </c>
      <c r="AM39" s="2183"/>
      <c r="AS39" s="1211">
        <v>14</v>
      </c>
    </row>
    <row customHeight="1" ht="24">
      <c r="Q40" s="432"/>
      <c r="R40" s="432"/>
      <c r="S40" s="2329"/>
      <c r="T40" s="2265"/>
      <c r="U40" s="1087"/>
      <c r="V40" s="2348" t="s">
        <v>563</v>
      </c>
      <c r="W40" s="2350" t="s">
        <v>564</v>
      </c>
      <c r="X40" s="1432" t="s">
        <v>565</v>
      </c>
      <c r="Y40" s="1432"/>
      <c r="Z40" s="2325" t="s">
        <v>566</v>
      </c>
      <c r="AA40" s="2325"/>
      <c r="AB40" s="2319"/>
      <c r="AC40" s="2334"/>
      <c r="AD40" s="2348" t="s">
        <v>563</v>
      </c>
      <c r="AE40" s="2350" t="s">
        <v>564</v>
      </c>
      <c r="AF40" s="1432" t="s">
        <v>565</v>
      </c>
      <c r="AG40" s="1432"/>
      <c r="AH40" s="2325" t="s">
        <v>566</v>
      </c>
      <c r="AI40" s="2325"/>
      <c r="AJ40" s="2319"/>
      <c r="AK40" s="2334"/>
      <c r="AL40" s="2337"/>
      <c r="AM40" s="2183"/>
      <c r="AS40" s="1211">
        <v>23</v>
      </c>
    </row>
    <row s="3018" customFormat="1" customHeight="1" ht="24">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M41" s="1418"/>
      <c r="N41" s="1418"/>
      <c r="O41" s="1418"/>
      <c r="P41" s="1384"/>
      <c r="Q41" s="432"/>
      <c r="R41" s="432"/>
      <c r="S41" s="2329"/>
      <c r="T41" s="2265"/>
      <c r="U41" s="358"/>
      <c r="V41" s="2349"/>
      <c r="W41" s="2351"/>
      <c r="X41" s="1429" t="s">
        <v>574</v>
      </c>
      <c r="Y41" s="1429" t="s">
        <v>575</v>
      </c>
      <c r="Z41" s="1390" t="s">
        <v>576</v>
      </c>
      <c r="AA41" s="2326" t="s">
        <v>577</v>
      </c>
      <c r="AB41" s="2327"/>
      <c r="AC41" s="2335"/>
      <c r="AD41" s="2349"/>
      <c r="AE41" s="2351"/>
      <c r="AF41" s="1429" t="s">
        <v>574</v>
      </c>
      <c r="AG41" s="1429" t="s">
        <v>575</v>
      </c>
      <c r="AH41" s="1390" t="s">
        <v>576</v>
      </c>
      <c r="AI41" s="2326" t="s">
        <v>577</v>
      </c>
      <c r="AJ41" s="2327"/>
      <c r="AK41" s="2335"/>
      <c r="AL41" s="2338"/>
      <c r="AM41" s="2183"/>
      <c r="AN41" s="567"/>
      <c r="AO41" s="556"/>
      <c r="AP41" s="556"/>
      <c r="AQ41" s="556"/>
      <c r="AR41" s="556"/>
      <c r="AS41" s="638">
        <v>23</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91">
        <f>OFFSET(V42,0,-1)+1</f>
        <v>3</v>
      </c>
      <c r="W42" s="1391"/>
      <c r="X42" s="1397">
        <f>OFFSET(X42,0,-1)+1</f>
        <v>1</v>
      </c>
      <c r="Y42" s="1397">
        <f>OFFSET(Y42,0,-1)+1</f>
        <v>2</v>
      </c>
      <c r="Z42" s="1391">
        <f>OFFSET(Z42,0,-1)+1</f>
        <v>3</v>
      </c>
      <c r="AA42" s="2328">
        <f>OFFSET(AA42,0,-1)+1</f>
        <v>4</v>
      </c>
      <c r="AB42" s="2328"/>
      <c r="AC42" s="1391">
        <f>OFFSET(AC42,0,-2)+1</f>
        <v>5</v>
      </c>
      <c r="AD42" s="1391">
        <f>OFFSET(AD42,0,-1)+1</f>
        <v>6</v>
      </c>
      <c r="AE42" s="1391"/>
      <c r="AF42" s="1397">
        <f>OFFSET(AF42,0,-1)+1</f>
        <v>1</v>
      </c>
      <c r="AG42" s="1397">
        <f>OFFSET(AG42,0,-1)+1</f>
        <v>2</v>
      </c>
      <c r="AH42" s="1391">
        <f>OFFSET(AH42,0,-1)+1</f>
        <v>3</v>
      </c>
      <c r="AI42" s="2328">
        <f>OFFSET(AI42,0,-1)+1</f>
        <v>4</v>
      </c>
      <c r="AJ42" s="2328"/>
      <c r="AK42" s="1391">
        <f>OFFSET(AK42,0,-2)+1</f>
        <v>5</v>
      </c>
      <c r="AL42" s="1301">
        <f>OFFSET(AL42,0,-1)</f>
        <v>5</v>
      </c>
      <c r="AM42" s="1391">
        <f>OFFSET(AM42,0,-1)+1</f>
        <v>6</v>
      </c>
      <c r="AN42" s="567"/>
      <c r="AO42" s="567"/>
      <c r="AP42" s="567"/>
      <c r="AQ42" s="567"/>
      <c r="AR42" s="567"/>
      <c r="AS42" s="552">
        <v>0</v>
      </c>
    </row>
    <row customHeight="1" ht="22.049999999999997">
      <c r="A43" s="1419" t="s">
        <v>265</v>
      </c>
      <c r="B43" s="1419"/>
      <c r="C43" s="1419"/>
      <c r="D43" s="1419"/>
      <c r="E43" s="2314">
        <v>1</v>
      </c>
      <c r="F43" s="1419"/>
      <c r="G43" s="1419"/>
      <c r="H43" s="1419"/>
      <c r="I43" s="1419"/>
      <c r="J43" s="1419"/>
      <c r="K43" s="1419"/>
      <c r="L43" s="1420"/>
      <c r="M43" s="1421"/>
      <c r="N43" s="1421"/>
      <c r="O43" s="1421"/>
      <c r="P43" s="417"/>
      <c r="Q43" s="416"/>
      <c r="R43" s="411"/>
      <c r="S43" s="1392">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21</v>
      </c>
    </row>
    <row customHeight="1" ht="22.049999999999997">
      <c r="A44" s="1419" t="s">
        <v>265</v>
      </c>
      <c r="B44" s="1419" t="s">
        <v>266</v>
      </c>
      <c r="C44" s="1419"/>
      <c r="D44" s="1419"/>
      <c r="E44" s="2315"/>
      <c r="F44" s="2314">
        <v>1</v>
      </c>
      <c r="G44" s="1419"/>
      <c r="H44" s="1419"/>
      <c r="I44" s="1419"/>
      <c r="J44" s="1419"/>
      <c r="K44" s="1419"/>
      <c r="L44" s="1420"/>
      <c r="M44" s="1421"/>
      <c r="N44" s="1421"/>
      <c r="O44" s="1421"/>
      <c r="P44" s="1388"/>
      <c r="Q44" s="408"/>
      <c r="R44" s="409"/>
      <c r="S44" s="1392"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21</v>
      </c>
    </row>
    <row customHeight="1" ht="24">
      <c r="A45" s="1419" t="s">
        <v>265</v>
      </c>
      <c r="B45" s="1419" t="s">
        <v>266</v>
      </c>
      <c r="C45" s="1419" t="s">
        <v>267</v>
      </c>
      <c r="D45" s="1419"/>
      <c r="E45" s="2315"/>
      <c r="F45" s="2315"/>
      <c r="G45" s="2314">
        <v>1</v>
      </c>
      <c r="H45" s="1419"/>
      <c r="I45" s="1419"/>
      <c r="J45" s="1419"/>
      <c r="K45" s="1419"/>
      <c r="L45" s="1420"/>
      <c r="M45" s="1421"/>
      <c r="N45" s="1421"/>
      <c r="O45" s="1421"/>
      <c r="P45" s="410"/>
      <c r="Q45" s="408"/>
      <c r="R45" s="409"/>
      <c r="S45" s="1392"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2.049999999999997">
      <c r="A46" s="1419" t="s">
        <v>265</v>
      </c>
      <c r="B46" s="1419" t="s">
        <v>266</v>
      </c>
      <c r="C46" s="1419" t="s">
        <v>267</v>
      </c>
      <c r="D46" s="1419" t="s">
        <v>268</v>
      </c>
      <c r="E46" s="2315"/>
      <c r="F46" s="2315"/>
      <c r="G46" s="2315"/>
      <c r="H46" s="2314">
        <v>1</v>
      </c>
      <c r="I46" s="1419"/>
      <c r="J46" s="1419"/>
      <c r="K46" s="1419"/>
      <c r="L46" s="1420"/>
      <c r="M46" s="1421"/>
      <c r="N46" s="1421"/>
      <c r="O46" s="1421"/>
      <c r="P46" s="410"/>
      <c r="Q46" s="408"/>
      <c r="R46" s="409"/>
      <c r="S46" s="1392"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21</v>
      </c>
    </row>
    <row customHeight="1" ht="49.5">
      <c r="A47" s="1419" t="s">
        <v>265</v>
      </c>
      <c r="B47" s="1419" t="s">
        <v>266</v>
      </c>
      <c r="C47" s="1419" t="s">
        <v>267</v>
      </c>
      <c r="D47" s="1419" t="s">
        <v>268</v>
      </c>
      <c r="E47" s="2315"/>
      <c r="F47" s="2315"/>
      <c r="G47" s="2315"/>
      <c r="H47" s="2315"/>
      <c r="I47" s="2312" t="str">
        <f>S46&amp;".1"</f>
        <v>....1</v>
      </c>
      <c r="J47" s="1419"/>
      <c r="K47" s="1419"/>
      <c r="L47" s="1420" t="s">
        <v>535</v>
      </c>
      <c r="P47" s="2313">
        <v>1</v>
      </c>
      <c r="Q47" s="1387"/>
      <c r="R47" s="412"/>
      <c r="S47" s="1392" t="str">
        <f>$I47</f>
        <v>....1</v>
      </c>
      <c r="T47" s="341" t="s">
        <v>536</v>
      </c>
      <c r="U47" s="356"/>
      <c r="V47" s="2301"/>
      <c r="W47" s="2302"/>
      <c r="X47" s="2302"/>
      <c r="Y47" s="2302"/>
      <c r="Z47" s="2302"/>
      <c r="AA47" s="2302"/>
      <c r="AB47" s="2302"/>
      <c r="AC47" s="2303"/>
      <c r="AD47" s="2301"/>
      <c r="AE47" s="2302"/>
      <c r="AF47" s="2302"/>
      <c r="AG47" s="2302"/>
      <c r="AH47" s="2302"/>
      <c r="AI47" s="2302"/>
      <c r="AJ47" s="2302"/>
      <c r="AK47" s="2302"/>
      <c r="AL47" s="2303"/>
      <c r="AM47" s="1314" t="s">
        <v>537</v>
      </c>
      <c r="AO47" s="556"/>
      <c r="AP47" s="556" t="str">
        <f>IF(T47="","",T47)</f>
        <v>Схема подключения теплопотребляющей установки к коллектору источника тепловой энергии</v>
      </c>
      <c r="AQ47" s="556"/>
      <c r="AR47" s="556"/>
      <c r="AS47" s="1211">
        <v>47</v>
      </c>
    </row>
    <row customHeight="1" ht="22.049999999999997">
      <c r="A48" s="1419" t="s">
        <v>265</v>
      </c>
      <c r="B48" s="1419" t="s">
        <v>266</v>
      </c>
      <c r="C48" s="1419" t="s">
        <v>267</v>
      </c>
      <c r="D48" s="1419" t="s">
        <v>268</v>
      </c>
      <c r="E48" s="2315"/>
      <c r="F48" s="2315"/>
      <c r="G48" s="2315"/>
      <c r="H48" s="2315"/>
      <c r="I48" s="2342"/>
      <c r="J48" s="2312" t="str">
        <f>I47&amp;".1"</f>
        <v>....1.1</v>
      </c>
      <c r="K48" s="1419"/>
      <c r="L48" s="1420" t="s">
        <v>538</v>
      </c>
      <c r="P48" s="2313"/>
      <c r="Q48" s="2313">
        <v>1</v>
      </c>
      <c r="R48" s="413"/>
      <c r="S48" s="1392" t="str">
        <f>$J48</f>
        <v>....1.1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21</v>
      </c>
    </row>
    <row customHeight="1" ht="22.049999999999997">
      <c r="A49" s="1419" t="s">
        <v>265</v>
      </c>
      <c r="B49" s="1419" t="s">
        <v>266</v>
      </c>
      <c r="C49" s="1419" t="s">
        <v>267</v>
      </c>
      <c r="D49" s="1419" t="s">
        <v>268</v>
      </c>
      <c r="E49" s="2315"/>
      <c r="F49" s="2315"/>
      <c r="G49" s="2315"/>
      <c r="H49" s="2315"/>
      <c r="I49" s="2342"/>
      <c r="J49" s="2342"/>
      <c r="K49" s="2312" t="str">
        <f>J48&amp;".1"</f>
        <v>....1.1.1</v>
      </c>
      <c r="L49" s="1420" t="s">
        <v>541</v>
      </c>
      <c r="P49" s="2313"/>
      <c r="Q49" s="2313"/>
      <c r="R49" s="413">
        <v>1</v>
      </c>
      <c r="S49" s="1392" t="str">
        <f>$K49</f>
        <v>....1.1.1</v>
      </c>
      <c r="T49" s="1403"/>
      <c r="U49" s="356"/>
      <c r="V49" s="381"/>
      <c r="W49" s="807"/>
      <c r="X49" s="381"/>
      <c r="Y49" s="440"/>
      <c r="Z49" s="2321"/>
      <c r="AA49" s="2163" t="s">
        <v>65</v>
      </c>
      <c r="AB49" s="2321"/>
      <c r="AC49" s="2163" t="s">
        <v>65</v>
      </c>
      <c r="AD49" s="381"/>
      <c r="AE49" s="807"/>
      <c r="AF49" s="381"/>
      <c r="AG49" s="440"/>
      <c r="AH49" s="2321"/>
      <c r="AI49" s="2163" t="s">
        <v>65</v>
      </c>
      <c r="AJ49" s="2343"/>
      <c r="AK49" s="2163" t="s">
        <v>65</v>
      </c>
      <c r="AL49" s="1404"/>
      <c r="AM49" s="2309" t="s">
        <v>542</v>
      </c>
      <c r="AN49" s="567">
        <f>STRCHECKDATE(V50:AL50)</f>
      </c>
      <c r="AO49" s="556"/>
      <c r="AP49" s="556" t="str">
        <f>IF(T49="","",T49)</f>
        <v/>
      </c>
      <c r="AQ49" s="556"/>
      <c r="AR49" s="556"/>
      <c r="AS49" s="1211">
        <v>21</v>
      </c>
    </row>
    <row customHeight="1" ht="1.05">
      <c r="A50" s="1419" t="s">
        <v>265</v>
      </c>
      <c r="B50" s="1419" t="s">
        <v>266</v>
      </c>
      <c r="C50" s="1419" t="s">
        <v>267</v>
      </c>
      <c r="D50" s="1419" t="s">
        <v>268</v>
      </c>
      <c r="E50" s="2315"/>
      <c r="F50" s="2315"/>
      <c r="G50" s="2315"/>
      <c r="H50" s="2315"/>
      <c r="I50" s="2342"/>
      <c r="J50" s="2342"/>
      <c r="K50" s="2312"/>
      <c r="L50" s="1420"/>
      <c r="P50" s="2313"/>
      <c r="Q50" s="2313"/>
      <c r="R50" s="413"/>
      <c r="S50" s="1398"/>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1</v>
      </c>
    </row>
    <row customHeight="1" ht="11.549999999999999">
      <c r="A51" s="1419" t="s">
        <v>265</v>
      </c>
      <c r="B51" s="1419" t="s">
        <v>266</v>
      </c>
      <c r="C51" s="1419" t="s">
        <v>267</v>
      </c>
      <c r="D51" s="1419" t="s">
        <v>268</v>
      </c>
      <c r="E51" s="2315"/>
      <c r="F51" s="2315"/>
      <c r="G51" s="2315"/>
      <c r="H51" s="2315"/>
      <c r="I51" s="2342"/>
      <c r="J51" s="2312"/>
      <c r="K51" s="1419"/>
      <c r="L51" s="1420"/>
      <c r="P51" s="2313"/>
      <c r="Q51" s="2313"/>
      <c r="R51" s="412"/>
      <c r="S51" s="1334"/>
      <c r="T51" s="344"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265</v>
      </c>
      <c r="B52" s="1419" t="s">
        <v>266</v>
      </c>
      <c r="C52" s="1419" t="s">
        <v>267</v>
      </c>
      <c r="D52" s="1419" t="s">
        <v>268</v>
      </c>
      <c r="E52" s="2315"/>
      <c r="F52" s="2315"/>
      <c r="G52" s="2315"/>
      <c r="H52" s="2315"/>
      <c r="I52" s="2312"/>
      <c r="J52" s="1419"/>
      <c r="K52" s="1419"/>
      <c r="L52" s="1420"/>
      <c r="P52" s="2313"/>
      <c r="Q52" s="1387"/>
      <c r="R52" s="412"/>
      <c r="S52" s="1334"/>
      <c r="T52" s="343"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14.699999999999998">
      <c r="A53" s="1419" t="s">
        <v>265</v>
      </c>
      <c r="B53" s="1419" t="s">
        <v>266</v>
      </c>
      <c r="C53" s="1419" t="s">
        <v>267</v>
      </c>
      <c r="D53" s="1419" t="s">
        <v>268</v>
      </c>
      <c r="E53" s="2315"/>
      <c r="F53" s="2315"/>
      <c r="G53" s="2315"/>
      <c r="H53" s="2314"/>
      <c r="I53" s="1419"/>
      <c r="J53" s="1419"/>
      <c r="K53" s="1419"/>
      <c r="L53" s="1420"/>
      <c r="M53" s="1421"/>
      <c r="N53" s="1421"/>
      <c r="O53" s="593"/>
      <c r="P53" s="416"/>
      <c r="Q53" s="431"/>
      <c r="R53" s="411"/>
      <c r="S53" s="1334"/>
      <c r="T53" s="421" t="s">
        <v>545</v>
      </c>
      <c r="U53" s="423"/>
      <c r="V53" s="423"/>
      <c r="W53" s="423"/>
      <c r="X53" s="423"/>
      <c r="Y53" s="423"/>
      <c r="Z53" s="423"/>
      <c r="AA53" s="423"/>
      <c r="AB53" s="423"/>
      <c r="AC53" s="422"/>
      <c r="AD53" s="423"/>
      <c r="AE53" s="423"/>
      <c r="AF53" s="423"/>
      <c r="AG53" s="423"/>
      <c r="AH53" s="423"/>
      <c r="AI53" s="423"/>
      <c r="AJ53" s="423"/>
      <c r="AK53" s="422"/>
      <c r="AL53" s="423"/>
      <c r="AM53" s="359"/>
      <c r="AO53" s="556"/>
      <c r="AP53" s="556" t="str">
        <f>IF(T53="","",T53)</f>
        <v>Добавить схему подключения</v>
      </c>
      <c r="AQ53" s="556"/>
      <c r="AR53" s="556"/>
      <c r="AS53" s="1211">
        <v>14</v>
      </c>
    </row>
    <row s="2851" customFormat="1" customHeight="1" ht="1.05">
      <c r="A54" s="1399" t="s">
        <v>265</v>
      </c>
      <c r="B54" s="1399" t="s">
        <v>266</v>
      </c>
      <c r="C54" s="1399" t="s">
        <v>267</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1</v>
      </c>
    </row>
    <row s="2851" customFormat="1" customHeight="1" ht="1.05">
      <c r="A55" s="1399" t="s">
        <v>265</v>
      </c>
      <c r="B55" s="1399" t="s">
        <v>266</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1</v>
      </c>
    </row>
    <row s="2851" customFormat="1" customHeight="1" ht="1.05">
      <c r="A56" s="1399" t="s">
        <v>265</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1</v>
      </c>
    </row>
    <row s="2851" customFormat="1" customHeight="1" ht="1.05">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1</v>
      </c>
    </row>
    <row customHeight="1" ht="11.549999999999999">
      <c r="M58" s="1216"/>
      <c r="N58" s="1216"/>
      <c r="O58" s="593"/>
      <c r="P58" s="1211"/>
      <c r="Q58" s="1211"/>
      <c r="R58" s="1211"/>
      <c r="S58" s="1211"/>
      <c r="AN58" s="1211"/>
      <c r="AO58" s="1211"/>
      <c r="AP58" s="1211"/>
      <c r="AQ58" s="1211"/>
      <c r="AR58" s="1211"/>
      <c r="AS58" s="1211">
        <v>11</v>
      </c>
    </row>
    <row customHeight="1" ht="28.5">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27</v>
      </c>
    </row>
    <row customHeight="1" ht="78.75">
      <c r="O60" s="59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75</v>
      </c>
    </row>
    <row customHeight="1" ht="14.699999999999998">
      <c r="O61" s="593"/>
      <c r="AS61" s="1211">
        <v>14</v>
      </c>
    </row>
    <row customHeight="1" ht="18.75">
      <c r="O62" s="593"/>
      <c r="S62" s="1309"/>
      <c r="T62" s="2341"/>
      <c r="U62" s="2341"/>
      <c r="V62" s="2341"/>
      <c r="W62" s="2341"/>
      <c r="X62" s="2341"/>
      <c r="Y62" s="2341"/>
      <c r="Z62" s="2341"/>
      <c r="AA62" s="2341"/>
      <c r="AB62" s="2341"/>
      <c r="AC62" s="2341"/>
      <c r="AD62" s="2341"/>
      <c r="AE62" s="2341"/>
      <c r="AF62" s="2341"/>
      <c r="AG62" s="2341"/>
      <c r="AH62" s="2341"/>
      <c r="AI62" s="2341"/>
      <c r="AJ62" s="2341"/>
      <c r="AK62" s="2341"/>
      <c r="AL62" s="2341"/>
      <c r="AM62" s="2341"/>
      <c r="AS62" s="1211">
        <v>18</v>
      </c>
    </row>
    <row customHeight="1" ht="18.75">
      <c r="O63" s="593"/>
      <c r="T63" s="2341"/>
      <c r="U63" s="2341"/>
      <c r="V63" s="2341"/>
      <c r="W63" s="2341"/>
      <c r="X63" s="2341"/>
      <c r="Y63" s="2341"/>
      <c r="Z63" s="2341"/>
      <c r="AA63" s="2341"/>
      <c r="AB63" s="2341"/>
      <c r="AC63" s="2341"/>
      <c r="AD63" s="2341"/>
      <c r="AE63" s="2341"/>
      <c r="AF63" s="2341"/>
      <c r="AG63" s="2341"/>
      <c r="AH63" s="2341"/>
      <c r="AI63" s="2341"/>
      <c r="AJ63" s="2341"/>
      <c r="AK63" s="2341"/>
      <c r="AL63" s="2341"/>
      <c r="AM63" s="2341"/>
      <c r="AS63" s="1211">
        <v>18</v>
      </c>
    </row>
    <row customHeight="1" ht="39.75">
      <c r="O64" s="593"/>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38</v>
      </c>
    </row>
    <row customHeight="1" ht="22.5" hidden="1">
      <c r="A65" s="1216" t="s">
        <v>86</v>
      </c>
      <c r="B65" s="1216">
        <v>0</v>
      </c>
      <c r="C65" s="1216">
        <v>0</v>
      </c>
      <c r="D65" s="1216">
        <v>0</v>
      </c>
      <c r="E65" s="1216">
        <v>0</v>
      </c>
      <c r="F65" s="1216">
        <v>0</v>
      </c>
      <c r="G65" s="1216">
        <v>0</v>
      </c>
      <c r="H65" s="1216">
        <v>0</v>
      </c>
      <c r="I65" s="1216">
        <v>0</v>
      </c>
      <c r="J65" s="1216">
        <v>0</v>
      </c>
      <c r="K65" s="1216">
        <v>0</v>
      </c>
      <c r="L65" s="1385">
        <v>0</v>
      </c>
      <c r="M65" s="1418">
        <v>0</v>
      </c>
      <c r="N65" s="1418">
        <v>0</v>
      </c>
      <c r="O65" s="1418">
        <v>0</v>
      </c>
      <c r="P65" s="1384">
        <v>3</v>
      </c>
      <c r="Q65" s="400">
        <v>3</v>
      </c>
      <c r="R65" s="400">
        <v>3</v>
      </c>
      <c r="S65" s="637">
        <v>12</v>
      </c>
      <c r="T65" s="1211">
        <v>31</v>
      </c>
      <c r="U65" s="1211">
        <v>0</v>
      </c>
      <c r="V65" s="1211">
        <v>0</v>
      </c>
      <c r="W65" s="1211">
        <v>0</v>
      </c>
      <c r="X65" s="1211">
        <v>0</v>
      </c>
      <c r="Y65" s="1211">
        <v>0</v>
      </c>
      <c r="Z65" s="1211">
        <v>0</v>
      </c>
      <c r="AA65" s="1211">
        <v>0</v>
      </c>
      <c r="AB65" s="1211">
        <v>0</v>
      </c>
      <c r="AC65" s="1211">
        <v>0</v>
      </c>
      <c r="AD65" s="1211">
        <v>0</v>
      </c>
      <c r="AE65" s="1211">
        <v>24</v>
      </c>
      <c r="AF65" s="1211">
        <v>0</v>
      </c>
      <c r="AG65" s="1211">
        <v>0</v>
      </c>
      <c r="AH65" s="1211">
        <v>11</v>
      </c>
      <c r="AI65" s="1211">
        <v>3</v>
      </c>
      <c r="AJ65" s="1211">
        <v>11</v>
      </c>
      <c r="AK65" s="1211">
        <v>0</v>
      </c>
      <c r="AL65" s="1211">
        <v>4</v>
      </c>
      <c r="AM65" s="1211">
        <v>115</v>
      </c>
      <c r="AN65" s="567">
        <v>10</v>
      </c>
      <c r="AO65" s="567">
        <v>10</v>
      </c>
      <c r="AP65" s="567">
        <v>10</v>
      </c>
      <c r="AQ65" s="567">
        <v>10</v>
      </c>
      <c r="AR65" s="567">
        <v>10</v>
      </c>
      <c r="AS65" s="1211">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F80B3B-6C12-E567-BF8E-4E4CA4FEE7F8}"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7109375" hidden="1"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8.421875" hidden="1" customWidth="1"/>
  </cols>
  <sheetData>
    <row customHeight="1" ht="22.5" hidden="1">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92">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88"/>
      <c r="Q3" s="408"/>
      <c r="R3" s="409"/>
      <c r="S3" s="1392">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1392">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409"/>
      <c r="S5" s="1392">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556"/>
      <c r="AP5" s="556" t="str">
        <f>IF(T5="","",T5)</f>
        <v>Источник тепловой энергии  </v>
      </c>
      <c r="AQ5" s="556"/>
      <c r="AR5" s="556"/>
      <c r="AS5" s="1211">
        <v>0</v>
      </c>
    </row>
    <row customHeight="1" ht="14.25" hidden="1">
      <c r="A6" s="1419"/>
      <c r="B6" s="1419"/>
      <c r="C6" s="1419"/>
      <c r="D6" s="1419"/>
      <c r="E6" s="2315"/>
      <c r="F6" s="2315"/>
      <c r="G6" s="2315"/>
      <c r="H6" s="2315"/>
      <c r="I6" s="2312">
        <f>S5&amp;".1"</f>
      </c>
      <c r="J6" s="1419"/>
      <c r="K6" s="1419"/>
      <c r="L6" s="1420" t="s">
        <v>535</v>
      </c>
      <c r="M6" s="593"/>
      <c r="P6" s="2313">
        <v>1</v>
      </c>
      <c r="Q6" s="1387"/>
      <c r="R6" s="412"/>
      <c r="S6" s="1098"/>
      <c r="T6" s="1439"/>
      <c r="U6" s="1440"/>
      <c r="V6" s="2352"/>
      <c r="W6" s="2353"/>
      <c r="X6" s="2353"/>
      <c r="Y6" s="2353"/>
      <c r="Z6" s="2353"/>
      <c r="AA6" s="2353"/>
      <c r="AB6" s="2353"/>
      <c r="AC6" s="2354"/>
      <c r="AD6" s="2352"/>
      <c r="AE6" s="2353"/>
      <c r="AF6" s="2353"/>
      <c r="AG6" s="2353"/>
      <c r="AH6" s="2353"/>
      <c r="AI6" s="2353"/>
      <c r="AJ6" s="2353"/>
      <c r="AK6" s="2353"/>
      <c r="AL6" s="2354"/>
      <c r="AM6" s="1441"/>
      <c r="AO6" s="556"/>
      <c r="AP6" s="556" t="str">
        <f>IF(T6="","",T6)</f>
        <v/>
      </c>
      <c r="AQ6" s="556"/>
      <c r="AR6" s="556"/>
      <c r="AS6" s="1211">
        <v>0</v>
      </c>
    </row>
    <row customHeight="1" ht="21" hidden="1">
      <c r="A7" s="1419"/>
      <c r="B7" s="1419"/>
      <c r="C7" s="1419"/>
      <c r="D7" s="1419"/>
      <c r="E7" s="2315"/>
      <c r="F7" s="2315"/>
      <c r="G7" s="2315"/>
      <c r="H7" s="2315"/>
      <c r="I7" s="2342"/>
      <c r="J7" s="2312">
        <f>I6&amp;".1"</f>
      </c>
      <c r="K7" s="1419"/>
      <c r="L7" s="1420" t="s">
        <v>538</v>
      </c>
      <c r="M7" s="593"/>
      <c r="N7" s="1422"/>
      <c r="P7" s="2313"/>
      <c r="Q7" s="2313">
        <v>1</v>
      </c>
      <c r="R7" s="413"/>
      <c r="S7" s="1392">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556"/>
      <c r="AP7" s="556" t="str">
        <f>IF(T7="","",T7)</f>
        <v>Группа потребителей</v>
      </c>
      <c r="AQ7" s="556"/>
      <c r="AR7" s="556"/>
      <c r="AS7" s="1211">
        <v>0</v>
      </c>
    </row>
    <row customHeight="1" ht="21" hidden="1">
      <c r="A8" s="1419"/>
      <c r="B8" s="1419"/>
      <c r="C8" s="1419"/>
      <c r="D8" s="1419"/>
      <c r="E8" s="2315"/>
      <c r="F8" s="2315"/>
      <c r="G8" s="2315"/>
      <c r="H8" s="2315"/>
      <c r="I8" s="2342"/>
      <c r="J8" s="2342"/>
      <c r="K8" s="2312">
        <f>J7&amp;".1"</f>
      </c>
      <c r="L8" s="1420" t="s">
        <v>541</v>
      </c>
      <c r="M8" s="593"/>
      <c r="N8" s="1422"/>
      <c r="O8" s="1422"/>
      <c r="P8" s="2313"/>
      <c r="Q8" s="2313"/>
      <c r="R8" s="413">
        <v>1</v>
      </c>
      <c r="S8" s="1392">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567">
        <f>STRCHECKDATE(V9:AL9)</f>
      </c>
      <c r="AO8" s="556"/>
      <c r="AP8" s="556" t="str">
        <f>IF(T8="","",T8)</f>
        <v/>
      </c>
      <c r="AQ8" s="556"/>
      <c r="AR8" s="556"/>
      <c r="AS8" s="1211">
        <v>0</v>
      </c>
    </row>
    <row customHeight="1" ht="0.75" hidden="1">
      <c r="A9" s="1419"/>
      <c r="B9" s="1419"/>
      <c r="C9" s="1419"/>
      <c r="D9" s="1419"/>
      <c r="E9" s="2315"/>
      <c r="F9" s="2315"/>
      <c r="G9" s="2315"/>
      <c r="H9" s="2315"/>
      <c r="I9" s="2342"/>
      <c r="J9" s="2342"/>
      <c r="K9" s="2312"/>
      <c r="L9" s="1420"/>
      <c r="M9" s="593"/>
      <c r="N9" s="1422"/>
      <c r="O9" s="1422"/>
      <c r="P9" s="2313"/>
      <c r="Q9" s="2313"/>
      <c r="R9" s="413"/>
      <c r="S9" s="1398"/>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5" hidden="1">
      <c r="A10" s="1419"/>
      <c r="B10" s="1419"/>
      <c r="C10" s="1419"/>
      <c r="D10" s="1419"/>
      <c r="E10" s="2315"/>
      <c r="F10" s="2315"/>
      <c r="G10" s="2315"/>
      <c r="H10" s="2315"/>
      <c r="I10" s="2342"/>
      <c r="J10" s="2312"/>
      <c r="K10" s="1419"/>
      <c r="L10" s="1420"/>
      <c r="M10" s="593"/>
      <c r="N10" s="1422"/>
      <c r="P10" s="2313"/>
      <c r="Q10" s="2313"/>
      <c r="R10" s="412"/>
      <c r="S10" s="1334"/>
      <c r="T10" s="343"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5" hidden="1">
      <c r="A11" s="1419"/>
      <c r="B11" s="1419"/>
      <c r="C11" s="1419"/>
      <c r="D11" s="1419"/>
      <c r="E11" s="2315"/>
      <c r="F11" s="2315"/>
      <c r="G11" s="2315"/>
      <c r="H11" s="2315"/>
      <c r="I11" s="2312"/>
      <c r="J11" s="1419"/>
      <c r="K11" s="1419"/>
      <c r="L11" s="1420"/>
      <c r="M11" s="593"/>
      <c r="P11" s="2313"/>
      <c r="Q11" s="1387"/>
      <c r="R11" s="412"/>
      <c r="S11" s="1334"/>
      <c r="T11" s="421"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14.25" hidden="1">
      <c r="A12" s="1419"/>
      <c r="B12" s="1419"/>
      <c r="C12" s="1419"/>
      <c r="D12" s="1419"/>
      <c r="E12" s="2315"/>
      <c r="F12" s="2315"/>
      <c r="G12" s="2315"/>
      <c r="H12" s="2314"/>
      <c r="I12" s="1419"/>
      <c r="J12" s="1419"/>
      <c r="K12" s="1419"/>
      <c r="L12" s="1420"/>
      <c r="M12" s="1421"/>
      <c r="N12" s="1421"/>
      <c r="O12" s="593"/>
      <c r="P12" s="416"/>
      <c r="Q12" s="431"/>
      <c r="R12" s="411"/>
      <c r="S12" s="1442"/>
      <c r="T12" s="1443"/>
      <c r="U12" s="1444"/>
      <c r="V12" s="1444"/>
      <c r="W12" s="1444"/>
      <c r="X12" s="1444"/>
      <c r="Y12" s="1444"/>
      <c r="Z12" s="1444"/>
      <c r="AA12" s="1444"/>
      <c r="AB12" s="1444"/>
      <c r="AC12" s="1444"/>
      <c r="AD12" s="1444"/>
      <c r="AE12" s="1444"/>
      <c r="AF12" s="1444"/>
      <c r="AG12" s="1444"/>
      <c r="AH12" s="1444"/>
      <c r="AI12" s="1444"/>
      <c r="AJ12" s="1444"/>
      <c r="AK12" s="1444"/>
      <c r="AL12" s="1444"/>
      <c r="AM12" s="1445"/>
      <c r="AO12" s="556"/>
      <c r="AP12" s="556" t="str">
        <f>IF(T12="","",T12)</f>
        <v/>
      </c>
      <c r="AQ12" s="556"/>
      <c r="AR12" s="556"/>
      <c r="AS12" s="1211">
        <v>0</v>
      </c>
    </row>
    <row s="2851" customFormat="1" customHeight="1" ht="0.7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0.7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0.7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AD17" s="1416"/>
      <c r="AE17" s="1416"/>
      <c r="AF17" s="1416"/>
      <c r="AG17" s="1417"/>
      <c r="AH17" s="2323"/>
      <c r="AI17" s="2324" t="s">
        <v>65</v>
      </c>
      <c r="AJ17" s="2323"/>
      <c r="AK17" s="2324" t="s">
        <v>65</v>
      </c>
      <c r="AS17" s="1211">
        <v>0</v>
      </c>
    </row>
    <row customHeight="1" ht="14.25" hidden="1">
      <c r="AD18" s="1416"/>
      <c r="AE18" s="1416"/>
      <c r="AF18" s="1416"/>
      <c r="AG18" s="384" t="str">
        <f>AH17&amp;"-"&amp;AJ17</f>
        <v>-</v>
      </c>
      <c r="AH18" s="2324"/>
      <c r="AI18" s="2324"/>
      <c r="AJ18" s="2324"/>
      <c r="AK18" s="2324"/>
      <c r="AS18" s="1211">
        <v>0</v>
      </c>
    </row>
    <row customHeight="1" ht="14.25" hidden="1">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14.2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AS23" s="1211">
        <v>0</v>
      </c>
    </row>
    <row customHeight="1" ht="14.25" hidden="1">
      <c r="O24" s="1420"/>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63">
      <c r="Q26" s="432"/>
      <c r="R26" s="432"/>
      <c r="S26" s="23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4"/>
      <c r="U26" s="2304"/>
      <c r="V26" s="2304"/>
      <c r="W26" s="2304"/>
      <c r="X26" s="2304"/>
      <c r="Y26" s="2304"/>
      <c r="Z26" s="2304"/>
      <c r="AA26" s="2304"/>
      <c r="AB26" s="2304"/>
      <c r="AC26" s="2304"/>
      <c r="AD26" s="2304"/>
      <c r="AE26" s="2304"/>
      <c r="AF26" s="2304"/>
      <c r="AG26" s="2304"/>
      <c r="AH26" s="2304"/>
      <c r="AI26" s="2304"/>
      <c r="AJ26" s="2304"/>
      <c r="AK26" s="1299"/>
      <c r="AS26" s="1211">
        <v>60</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18.7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396"/>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211">
        <v>14</v>
      </c>
    </row>
    <row customHeight="1" ht="35.699999999999996">
      <c r="Q40" s="432"/>
      <c r="R40" s="432"/>
      <c r="S40" s="2329"/>
      <c r="T40" s="2265"/>
      <c r="U40" s="1087"/>
      <c r="V40" s="2316" t="s">
        <v>563</v>
      </c>
      <c r="W40" s="2339"/>
      <c r="X40" s="2318" t="s">
        <v>565</v>
      </c>
      <c r="Y40" s="2319"/>
      <c r="Z40" s="2318" t="s">
        <v>566</v>
      </c>
      <c r="AA40" s="2325"/>
      <c r="AB40" s="2319"/>
      <c r="AC40" s="2334"/>
      <c r="AD40" s="2316" t="s">
        <v>579</v>
      </c>
      <c r="AE40" s="2339"/>
      <c r="AF40" s="2318" t="s">
        <v>565</v>
      </c>
      <c r="AG40" s="2319"/>
      <c r="AH40" s="2318" t="s">
        <v>566</v>
      </c>
      <c r="AI40" s="2325"/>
      <c r="AJ40" s="2319"/>
      <c r="AK40" s="2334"/>
      <c r="AL40" s="2337"/>
      <c r="AM40" s="2183"/>
      <c r="AS40" s="1211">
        <v>34</v>
      </c>
    </row>
    <row customHeight="1" ht="35.699999999999996">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Q41" s="432"/>
      <c r="R41" s="432"/>
      <c r="S41" s="2329"/>
      <c r="T41" s="2265"/>
      <c r="U41" s="358"/>
      <c r="V41" s="2317"/>
      <c r="W41" s="2340"/>
      <c r="X41" s="1278" t="s">
        <v>574</v>
      </c>
      <c r="Y41" s="1278" t="s">
        <v>575</v>
      </c>
      <c r="Z41" s="1394" t="s">
        <v>576</v>
      </c>
      <c r="AA41" s="2326" t="s">
        <v>577</v>
      </c>
      <c r="AB41" s="2327"/>
      <c r="AC41" s="2335"/>
      <c r="AD41" s="2317"/>
      <c r="AE41" s="2340"/>
      <c r="AF41" s="1278" t="s">
        <v>574</v>
      </c>
      <c r="AG41" s="1278" t="s">
        <v>575</v>
      </c>
      <c r="AH41" s="1394" t="s">
        <v>576</v>
      </c>
      <c r="AI41" s="2326" t="s">
        <v>577</v>
      </c>
      <c r="AJ41" s="2327"/>
      <c r="AK41" s="2335"/>
      <c r="AL41" s="2338"/>
      <c r="AM41" s="2183"/>
      <c r="AS41" s="1211">
        <v>34</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91">
        <f>OFFSET(V42,0,-1)+1</f>
        <v>3</v>
      </c>
      <c r="W42" s="1391"/>
      <c r="X42" s="1391">
        <f>OFFSET(X42,0,-1)+1</f>
        <v>1</v>
      </c>
      <c r="Y42" s="1391">
        <f>OFFSET(Y42,0,-1)+1</f>
        <v>2</v>
      </c>
      <c r="Z42" s="1391">
        <f>OFFSET(Z42,0,-1)+1</f>
        <v>3</v>
      </c>
      <c r="AA42" s="2328">
        <f>OFFSET(AA42,0,-1)+1</f>
        <v>4</v>
      </c>
      <c r="AB42" s="2328"/>
      <c r="AC42" s="1391">
        <f>OFFSET(AC42,0,-2)+1</f>
        <v>5</v>
      </c>
      <c r="AD42" s="1391">
        <f>OFFSET(AD42,0,-1)+1</f>
        <v>6</v>
      </c>
      <c r="AE42" s="1391"/>
      <c r="AF42" s="1391">
        <f>OFFSET(AF42,0,-1)+1</f>
        <v>1</v>
      </c>
      <c r="AG42" s="1391">
        <f>OFFSET(AG42,0,-1)+1</f>
        <v>2</v>
      </c>
      <c r="AH42" s="1391">
        <f>OFFSET(AH42,0,-1)+1</f>
        <v>3</v>
      </c>
      <c r="AI42" s="2328">
        <f>OFFSET(AI42,0,-1)+1</f>
        <v>4</v>
      </c>
      <c r="AJ42" s="2328"/>
      <c r="AK42" s="1391">
        <f>OFFSET(AK42,0,-2)+1</f>
        <v>5</v>
      </c>
      <c r="AL42" s="1301">
        <f>OFFSET(AL42,0,-1)</f>
        <v>5</v>
      </c>
      <c r="AM42" s="1391">
        <f>OFFSET(AM42,0,-1)+1</f>
        <v>6</v>
      </c>
      <c r="AN42" s="567"/>
      <c r="AO42" s="567"/>
      <c r="AP42" s="567"/>
      <c r="AQ42" s="567"/>
      <c r="AR42" s="567"/>
      <c r="AS42" s="552">
        <v>0</v>
      </c>
    </row>
    <row customHeight="1" ht="22.049999999999997">
      <c r="A43" s="1419" t="s">
        <v>241</v>
      </c>
      <c r="B43" s="1419"/>
      <c r="C43" s="1419"/>
      <c r="D43" s="1419"/>
      <c r="E43" s="2314">
        <v>1</v>
      </c>
      <c r="F43" s="1419"/>
      <c r="G43" s="1419"/>
      <c r="H43" s="1419"/>
      <c r="I43" s="1419"/>
      <c r="J43" s="1419"/>
      <c r="K43" s="1419"/>
      <c r="L43" s="1420"/>
      <c r="M43" s="1421"/>
      <c r="N43" s="1421"/>
      <c r="O43" s="1421"/>
      <c r="P43" s="417"/>
      <c r="Q43" s="416"/>
      <c r="R43" s="411"/>
      <c r="S43" s="1392">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21</v>
      </c>
    </row>
    <row customHeight="1" ht="22.049999999999997">
      <c r="A44" s="1419" t="s">
        <v>241</v>
      </c>
      <c r="B44" s="1419" t="s">
        <v>242</v>
      </c>
      <c r="C44" s="1419"/>
      <c r="D44" s="1419"/>
      <c r="E44" s="2315"/>
      <c r="F44" s="2314">
        <v>1</v>
      </c>
      <c r="G44" s="1419"/>
      <c r="H44" s="1419"/>
      <c r="I44" s="1419"/>
      <c r="J44" s="1419"/>
      <c r="K44" s="1419"/>
      <c r="L44" s="1420"/>
      <c r="M44" s="1421"/>
      <c r="N44" s="1421"/>
      <c r="O44" s="1421"/>
      <c r="P44" s="1388"/>
      <c r="Q44" s="408"/>
      <c r="R44" s="409"/>
      <c r="S44" s="1392"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21</v>
      </c>
    </row>
    <row customHeight="1" ht="24">
      <c r="A45" s="1419" t="s">
        <v>241</v>
      </c>
      <c r="B45" s="1419" t="s">
        <v>242</v>
      </c>
      <c r="C45" s="1419" t="s">
        <v>243</v>
      </c>
      <c r="D45" s="1419"/>
      <c r="E45" s="2315"/>
      <c r="F45" s="2315"/>
      <c r="G45" s="2314">
        <v>1</v>
      </c>
      <c r="H45" s="1419"/>
      <c r="I45" s="1419"/>
      <c r="J45" s="1419"/>
      <c r="K45" s="1419"/>
      <c r="L45" s="1420"/>
      <c r="M45" s="1421"/>
      <c r="N45" s="1421"/>
      <c r="O45" s="1421"/>
      <c r="P45" s="410"/>
      <c r="Q45" s="408"/>
      <c r="R45" s="409"/>
      <c r="S45" s="1392"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2.049999999999997">
      <c r="A46" s="1419" t="s">
        <v>241</v>
      </c>
      <c r="B46" s="1419" t="s">
        <v>242</v>
      </c>
      <c r="C46" s="1419" t="s">
        <v>243</v>
      </c>
      <c r="D46" s="1419" t="s">
        <v>244</v>
      </c>
      <c r="E46" s="2315"/>
      <c r="F46" s="2315"/>
      <c r="G46" s="2315"/>
      <c r="H46" s="2314">
        <v>1</v>
      </c>
      <c r="I46" s="1419"/>
      <c r="J46" s="1419"/>
      <c r="K46" s="1419"/>
      <c r="L46" s="1420"/>
      <c r="M46" s="1421"/>
      <c r="N46" s="1421"/>
      <c r="O46" s="1421"/>
      <c r="P46" s="410"/>
      <c r="Q46" s="408"/>
      <c r="R46" s="409"/>
      <c r="S46" s="1392"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21</v>
      </c>
    </row>
    <row s="2851" customFormat="1" customHeight="1" ht="0">
      <c r="A47" s="1399" t="s">
        <v>241</v>
      </c>
      <c r="B47" s="1399" t="s">
        <v>242</v>
      </c>
      <c r="C47" s="1399" t="s">
        <v>243</v>
      </c>
      <c r="D47" s="1399" t="s">
        <v>244</v>
      </c>
      <c r="E47" s="2315"/>
      <c r="F47" s="2315"/>
      <c r="G47" s="2315"/>
      <c r="H47" s="2315"/>
      <c r="I47" s="2312" t="str">
        <f>S46&amp;".1"</f>
        <v>....1</v>
      </c>
      <c r="J47" s="1399"/>
      <c r="K47" s="1399"/>
      <c r="L47" s="1402" t="s">
        <v>535</v>
      </c>
      <c r="M47" s="566"/>
      <c r="N47" s="566"/>
      <c r="O47" s="566"/>
      <c r="P47" s="2313">
        <v>1</v>
      </c>
      <c r="Q47" s="1387"/>
      <c r="R47" s="412"/>
      <c r="S47" s="1098"/>
      <c r="T47" s="1439"/>
      <c r="U47" s="1440"/>
      <c r="V47" s="2352"/>
      <c r="W47" s="2353"/>
      <c r="X47" s="2353"/>
      <c r="Y47" s="2353"/>
      <c r="Z47" s="2353"/>
      <c r="AA47" s="2353"/>
      <c r="AB47" s="2353"/>
      <c r="AC47" s="2354"/>
      <c r="AD47" s="2352"/>
      <c r="AE47" s="2353"/>
      <c r="AF47" s="2353"/>
      <c r="AG47" s="2353"/>
      <c r="AH47" s="2353"/>
      <c r="AI47" s="2353"/>
      <c r="AJ47" s="2353"/>
      <c r="AK47" s="2353"/>
      <c r="AL47" s="2354"/>
      <c r="AM47" s="1441"/>
      <c r="AO47" s="556"/>
      <c r="AP47" s="556" t="str">
        <f>IF(T47="","",T47)</f>
        <v/>
      </c>
      <c r="AQ47" s="556"/>
      <c r="AR47" s="556"/>
      <c r="AS47" s="567">
        <v>0</v>
      </c>
    </row>
    <row customHeight="1" ht="22.049999999999997">
      <c r="A48" s="1419" t="s">
        <v>241</v>
      </c>
      <c r="B48" s="1419" t="s">
        <v>242</v>
      </c>
      <c r="C48" s="1419" t="s">
        <v>243</v>
      </c>
      <c r="D48" s="1419" t="s">
        <v>244</v>
      </c>
      <c r="E48" s="2315"/>
      <c r="F48" s="2315"/>
      <c r="G48" s="2315"/>
      <c r="H48" s="2315"/>
      <c r="I48" s="2342"/>
      <c r="J48" s="2312" t="str">
        <f>S46&amp;".1"</f>
        <v>....1</v>
      </c>
      <c r="K48" s="1419"/>
      <c r="L48" s="1420" t="s">
        <v>538</v>
      </c>
      <c r="P48" s="2313"/>
      <c r="Q48" s="2313">
        <v>1</v>
      </c>
      <c r="R48" s="413"/>
      <c r="S48" s="1392" t="str">
        <f>$J48</f>
        <v>....1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21</v>
      </c>
    </row>
    <row customHeight="1" ht="22.049999999999997">
      <c r="A49" s="1419" t="s">
        <v>241</v>
      </c>
      <c r="B49" s="1419" t="s">
        <v>242</v>
      </c>
      <c r="C49" s="1419" t="s">
        <v>243</v>
      </c>
      <c r="D49" s="1419" t="s">
        <v>244</v>
      </c>
      <c r="E49" s="2315"/>
      <c r="F49" s="2315"/>
      <c r="G49" s="2315"/>
      <c r="H49" s="2315"/>
      <c r="I49" s="2342"/>
      <c r="J49" s="2342"/>
      <c r="K49" s="2312" t="str">
        <f>J48&amp;".1"</f>
        <v>....1.1</v>
      </c>
      <c r="L49" s="1420" t="s">
        <v>541</v>
      </c>
      <c r="P49" s="2313"/>
      <c r="Q49" s="2313"/>
      <c r="R49" s="413">
        <v>1</v>
      </c>
      <c r="S49" s="1392" t="str">
        <f>$K49</f>
        <v>....1.1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580</v>
      </c>
      <c r="AN49" s="567">
        <f>STRCHECKDATE(V50:AL50)</f>
      </c>
      <c r="AO49" s="556"/>
      <c r="AP49" s="556" t="str">
        <f>IF(T49="","",T49)</f>
        <v/>
      </c>
      <c r="AQ49" s="556"/>
      <c r="AR49" s="556"/>
      <c r="AS49" s="1211">
        <v>21</v>
      </c>
    </row>
    <row customHeight="1" ht="1.05">
      <c r="A50" s="1419" t="s">
        <v>241</v>
      </c>
      <c r="B50" s="1419" t="s">
        <v>242</v>
      </c>
      <c r="C50" s="1419" t="s">
        <v>243</v>
      </c>
      <c r="D50" s="1419" t="s">
        <v>244</v>
      </c>
      <c r="E50" s="2315"/>
      <c r="F50" s="2315"/>
      <c r="G50" s="2315"/>
      <c r="H50" s="2315"/>
      <c r="I50" s="2342"/>
      <c r="J50" s="2342"/>
      <c r="K50" s="2312"/>
      <c r="L50" s="1420"/>
      <c r="P50" s="2313"/>
      <c r="Q50" s="2313"/>
      <c r="R50" s="413"/>
      <c r="S50" s="1398"/>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1</v>
      </c>
    </row>
    <row customHeight="1" ht="11.549999999999999">
      <c r="A51" s="1419" t="s">
        <v>241</v>
      </c>
      <c r="B51" s="1419" t="s">
        <v>242</v>
      </c>
      <c r="C51" s="1419" t="s">
        <v>243</v>
      </c>
      <c r="D51" s="1419" t="s">
        <v>244</v>
      </c>
      <c r="E51" s="2315"/>
      <c r="F51" s="2315"/>
      <c r="G51" s="2315"/>
      <c r="H51" s="2315"/>
      <c r="I51" s="2342"/>
      <c r="J51" s="2312"/>
      <c r="K51" s="1419"/>
      <c r="L51" s="1420"/>
      <c r="P51" s="2313"/>
      <c r="Q51" s="2313"/>
      <c r="R51" s="412"/>
      <c r="S51" s="1334"/>
      <c r="T51" s="343"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241</v>
      </c>
      <c r="B52" s="1419" t="s">
        <v>242</v>
      </c>
      <c r="C52" s="1419" t="s">
        <v>243</v>
      </c>
      <c r="D52" s="1419" t="s">
        <v>244</v>
      </c>
      <c r="E52" s="2315"/>
      <c r="F52" s="2315"/>
      <c r="G52" s="2315"/>
      <c r="H52" s="2315"/>
      <c r="I52" s="2312"/>
      <c r="J52" s="1419"/>
      <c r="K52" s="1419"/>
      <c r="L52" s="1420"/>
      <c r="P52" s="2313"/>
      <c r="Q52" s="1387"/>
      <c r="R52" s="412"/>
      <c r="S52" s="1334"/>
      <c r="T52" s="421"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0">
      <c r="A53" s="1419" t="s">
        <v>241</v>
      </c>
      <c r="B53" s="1419" t="s">
        <v>242</v>
      </c>
      <c r="C53" s="1419" t="s">
        <v>243</v>
      </c>
      <c r="D53" s="1419" t="s">
        <v>244</v>
      </c>
      <c r="E53" s="2315"/>
      <c r="F53" s="2315"/>
      <c r="G53" s="2315"/>
      <c r="H53" s="2314"/>
      <c r="I53" s="1419"/>
      <c r="J53" s="1419"/>
      <c r="K53" s="1419"/>
      <c r="L53" s="1420"/>
      <c r="M53" s="1421"/>
      <c r="N53" s="1421"/>
      <c r="O53" s="593"/>
      <c r="P53" s="416"/>
      <c r="Q53" s="431"/>
      <c r="R53" s="411"/>
      <c r="S53" s="1442"/>
      <c r="T53" s="1443"/>
      <c r="U53" s="1444"/>
      <c r="V53" s="1444"/>
      <c r="W53" s="1444"/>
      <c r="X53" s="1444"/>
      <c r="Y53" s="1444"/>
      <c r="Z53" s="1444"/>
      <c r="AA53" s="1444"/>
      <c r="AB53" s="1444"/>
      <c r="AC53" s="1444"/>
      <c r="AD53" s="1444"/>
      <c r="AE53" s="1444"/>
      <c r="AF53" s="1444"/>
      <c r="AG53" s="1444"/>
      <c r="AH53" s="1444"/>
      <c r="AI53" s="1444"/>
      <c r="AJ53" s="1444"/>
      <c r="AK53" s="1444"/>
      <c r="AL53" s="1444"/>
      <c r="AM53" s="1445"/>
      <c r="AO53" s="556"/>
      <c r="AP53" s="556" t="str">
        <f>IF(T53="","",T53)</f>
        <v/>
      </c>
      <c r="AQ53" s="556"/>
      <c r="AR53" s="556"/>
      <c r="AS53" s="1211">
        <v>0</v>
      </c>
    </row>
    <row s="2851" customFormat="1" customHeight="1" ht="1.05">
      <c r="A54" s="1399" t="s">
        <v>241</v>
      </c>
      <c r="B54" s="1399" t="s">
        <v>242</v>
      </c>
      <c r="C54" s="1399" t="s">
        <v>243</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1</v>
      </c>
    </row>
    <row s="2851" customFormat="1" customHeight="1" ht="1.05">
      <c r="A55" s="1399" t="s">
        <v>241</v>
      </c>
      <c r="B55" s="1399" t="s">
        <v>242</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1</v>
      </c>
    </row>
    <row s="2851" customFormat="1" customHeight="1" ht="1.05">
      <c r="A56" s="1399" t="s">
        <v>241</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1</v>
      </c>
    </row>
    <row s="2851" customFormat="1" customHeight="1" ht="1.05">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1</v>
      </c>
    </row>
    <row customHeight="1" ht="11.549999999999999">
      <c r="M58" s="1216"/>
      <c r="N58" s="1216"/>
      <c r="O58" s="593"/>
      <c r="P58" s="1211"/>
      <c r="Q58" s="1211"/>
      <c r="R58" s="1211"/>
      <c r="S58" s="1211"/>
      <c r="AN58" s="1211"/>
      <c r="AO58" s="1211"/>
      <c r="AP58" s="1211"/>
      <c r="AQ58" s="1211"/>
      <c r="AR58" s="1211"/>
      <c r="AS58" s="1211">
        <v>11</v>
      </c>
    </row>
    <row customHeight="1" ht="19.95">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19</v>
      </c>
    </row>
    <row customHeight="1" ht="29.25">
      <c r="O60" s="59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28</v>
      </c>
    </row>
    <row customHeight="1" ht="42">
      <c r="O61" s="59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211">
        <v>40</v>
      </c>
    </row>
    <row customHeight="1" ht="14.699999999999998">
      <c r="O62" s="593"/>
      <c r="AS62" s="1211">
        <v>14</v>
      </c>
    </row>
    <row customHeight="1" ht="21">
      <c r="O63" s="593"/>
      <c r="S63" s="1309"/>
      <c r="T63" s="2355"/>
      <c r="U63" s="2341"/>
      <c r="V63" s="2341"/>
      <c r="W63" s="2341"/>
      <c r="X63" s="2341"/>
      <c r="Y63" s="2341"/>
      <c r="Z63" s="2341"/>
      <c r="AA63" s="2341"/>
      <c r="AB63" s="2341"/>
      <c r="AC63" s="2341"/>
      <c r="AD63" s="2341"/>
      <c r="AE63" s="2341"/>
      <c r="AF63" s="2341"/>
      <c r="AG63" s="2341"/>
      <c r="AH63" s="2341"/>
      <c r="AI63" s="2341"/>
      <c r="AJ63" s="2341"/>
      <c r="AK63" s="2341"/>
      <c r="AL63" s="2341"/>
      <c r="AM63" s="2341"/>
      <c r="AS63" s="1211">
        <v>20</v>
      </c>
    </row>
    <row customHeight="1" ht="29.25">
      <c r="O64" s="59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28</v>
      </c>
    </row>
    <row customHeight="1" ht="35.699999999999996">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211">
        <v>34</v>
      </c>
    </row>
    <row customHeight="1" ht="22.5" hidden="1">
      <c r="A66" s="1216" t="s">
        <v>86</v>
      </c>
      <c r="B66" s="1216">
        <v>0</v>
      </c>
      <c r="C66" s="1216">
        <v>0</v>
      </c>
      <c r="D66" s="1216">
        <v>0</v>
      </c>
      <c r="E66" s="1216">
        <v>0</v>
      </c>
      <c r="F66" s="1216">
        <v>0</v>
      </c>
      <c r="G66" s="1216">
        <v>0</v>
      </c>
      <c r="H66" s="1216">
        <v>0</v>
      </c>
      <c r="I66" s="1216">
        <v>0</v>
      </c>
      <c r="J66" s="1216">
        <v>0</v>
      </c>
      <c r="K66" s="1216">
        <v>0</v>
      </c>
      <c r="L66" s="1385">
        <v>0</v>
      </c>
      <c r="M66" s="1418">
        <v>0</v>
      </c>
      <c r="N66" s="1418">
        <v>0</v>
      </c>
      <c r="O66" s="1418">
        <v>0</v>
      </c>
      <c r="P66" s="1384">
        <v>0</v>
      </c>
      <c r="Q66" s="400">
        <v>3</v>
      </c>
      <c r="R66" s="400">
        <v>3</v>
      </c>
      <c r="S66" s="637">
        <v>12</v>
      </c>
      <c r="T66" s="1211">
        <v>31</v>
      </c>
      <c r="U66" s="1211">
        <v>0</v>
      </c>
      <c r="V66" s="1211">
        <v>0</v>
      </c>
      <c r="W66" s="1211">
        <v>0</v>
      </c>
      <c r="X66" s="1211">
        <v>0</v>
      </c>
      <c r="Y66" s="1211">
        <v>0</v>
      </c>
      <c r="Z66" s="1211">
        <v>0</v>
      </c>
      <c r="AA66" s="1211">
        <v>0</v>
      </c>
      <c r="AB66" s="1211">
        <v>0</v>
      </c>
      <c r="AC66" s="1211">
        <v>0</v>
      </c>
      <c r="AD66" s="1211">
        <v>24</v>
      </c>
      <c r="AE66" s="1211">
        <v>0</v>
      </c>
      <c r="AF66" s="1211">
        <v>24</v>
      </c>
      <c r="AG66" s="1211">
        <v>24</v>
      </c>
      <c r="AH66" s="1211">
        <v>11</v>
      </c>
      <c r="AI66" s="1211">
        <v>3</v>
      </c>
      <c r="AJ66" s="1211">
        <v>11</v>
      </c>
      <c r="AK66" s="1211">
        <v>0</v>
      </c>
      <c r="AL66" s="1211">
        <v>4</v>
      </c>
      <c r="AM66" s="1211">
        <v>115</v>
      </c>
      <c r="AN66" s="567">
        <v>10</v>
      </c>
      <c r="AO66" s="567">
        <v>10</v>
      </c>
      <c r="AP66" s="567">
        <v>10</v>
      </c>
      <c r="AQ66" s="567">
        <v>10</v>
      </c>
      <c r="AR66" s="567">
        <v>10</v>
      </c>
      <c r="AS66" s="1211">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D08F5-4876-AA44-42A9-8B033C20CED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7109375" hidden="1"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A1" s="1927"/>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92">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88"/>
      <c r="Q3" s="408"/>
      <c r="R3" s="409"/>
      <c r="S3" s="1392">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2064">
        <f>INDEX(PT_DIFFERENTIATION_NUM_CS,MATCH(C4,PT_DIFFERENTIATION_CS_ID,0))</f>
      </c>
      <c r="T4" s="2068" t="s">
        <v>531</v>
      </c>
      <c r="U4" s="2069"/>
      <c r="V4" s="2356"/>
      <c r="W4" s="2357"/>
      <c r="X4" s="2357"/>
      <c r="Y4" s="2357"/>
      <c r="Z4" s="2357"/>
      <c r="AA4" s="2357"/>
      <c r="AB4" s="2357"/>
      <c r="AC4" s="2358"/>
      <c r="AD4" s="2356">
        <f>INDEX(PT_DIFFERENTIATION_CS,MATCH(C4,PT_DIFFERENTIATION_CS_ID,0))</f>
      </c>
      <c r="AE4" s="2357"/>
      <c r="AF4" s="2357"/>
      <c r="AG4" s="2357"/>
      <c r="AH4" s="2357"/>
      <c r="AI4" s="2357"/>
      <c r="AJ4" s="2357"/>
      <c r="AK4" s="2357"/>
      <c r="AL4" s="2358"/>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1691"/>
      <c r="S5" s="2063">
        <f>INDEX(PT_DIFFERENTIATION_NUM_IST_TE,MATCH(D5,PT_DIFFERENTIATION_IST_TE_ID,0))</f>
      </c>
      <c r="T5" s="366" t="s">
        <v>533</v>
      </c>
      <c r="U5" s="356"/>
      <c r="V5" s="2359"/>
      <c r="W5" s="2359"/>
      <c r="X5" s="2359"/>
      <c r="Y5" s="2359"/>
      <c r="Z5" s="2359"/>
      <c r="AA5" s="2359"/>
      <c r="AB5" s="2359"/>
      <c r="AC5" s="2359"/>
      <c r="AD5" s="2359">
        <f>INDEX(PT_DIFFERENTIATION_IST_TE,MATCH(D5,PT_DIFFERENTIATION_IST_TE_ID,0))</f>
      </c>
      <c r="AE5" s="2359"/>
      <c r="AF5" s="2359"/>
      <c r="AG5" s="2359"/>
      <c r="AH5" s="2359"/>
      <c r="AI5" s="2359"/>
      <c r="AJ5" s="2359"/>
      <c r="AK5" s="2359"/>
      <c r="AL5" s="2359"/>
      <c r="AM5" s="2066" t="s">
        <v>534</v>
      </c>
      <c r="AO5" s="556"/>
      <c r="AP5" s="556" t="str">
        <f>IF(T5="","",T5)</f>
        <v>Источник тепловой энергии  </v>
      </c>
      <c r="AQ5" s="556"/>
      <c r="AR5" s="556"/>
      <c r="AS5" s="1211">
        <v>0</v>
      </c>
    </row>
    <row customHeight="1" ht="0.75" hidden="1">
      <c r="A6" s="1419"/>
      <c r="B6" s="1419"/>
      <c r="C6" s="1419"/>
      <c r="D6" s="1419"/>
      <c r="E6" s="2315"/>
      <c r="F6" s="2315"/>
      <c r="G6" s="2315"/>
      <c r="H6" s="2315"/>
      <c r="I6" s="2312">
        <f>S5&amp;".1"</f>
      </c>
      <c r="J6" s="1419"/>
      <c r="K6" s="1419"/>
      <c r="L6" s="1420" t="s">
        <v>535</v>
      </c>
      <c r="M6" s="593"/>
      <c r="P6" s="2313">
        <v>1</v>
      </c>
      <c r="Q6" s="1387"/>
      <c r="R6" s="2062"/>
      <c r="S6" s="1098"/>
      <c r="T6" s="1439"/>
      <c r="U6" s="1440"/>
      <c r="V6" s="2360"/>
      <c r="W6" s="2360"/>
      <c r="X6" s="2360"/>
      <c r="Y6" s="2360"/>
      <c r="Z6" s="2360"/>
      <c r="AA6" s="2360"/>
      <c r="AB6" s="2360"/>
      <c r="AC6" s="2360"/>
      <c r="AD6" s="2360"/>
      <c r="AE6" s="2360"/>
      <c r="AF6" s="2360"/>
      <c r="AG6" s="2360"/>
      <c r="AH6" s="2360"/>
      <c r="AI6" s="2360"/>
      <c r="AJ6" s="2360"/>
      <c r="AK6" s="2360"/>
      <c r="AL6" s="2360"/>
      <c r="AM6" s="2067"/>
      <c r="AO6" s="556"/>
      <c r="AP6" s="556" t="str">
        <f>IF(T6="","",T6)</f>
        <v/>
      </c>
      <c r="AQ6" s="556"/>
      <c r="AR6" s="556"/>
      <c r="AS6" s="1211">
        <v>0</v>
      </c>
    </row>
    <row customHeight="1" ht="84" hidden="1">
      <c r="A7" s="1419"/>
      <c r="B7" s="1419"/>
      <c r="C7" s="1419"/>
      <c r="D7" s="1419"/>
      <c r="E7" s="2315"/>
      <c r="F7" s="2315"/>
      <c r="G7" s="2315"/>
      <c r="H7" s="2315"/>
      <c r="I7" s="2342"/>
      <c r="J7" s="2312">
        <f>I6&amp;".1"</f>
      </c>
      <c r="K7" s="1419"/>
      <c r="L7" s="1420" t="s">
        <v>538</v>
      </c>
      <c r="M7" s="593"/>
      <c r="N7" s="1422"/>
      <c r="P7" s="2313"/>
      <c r="Q7" s="2313">
        <v>1</v>
      </c>
      <c r="R7" s="1698"/>
      <c r="S7" s="2063">
        <f>$J7</f>
      </c>
      <c r="T7" s="342" t="s">
        <v>539</v>
      </c>
      <c r="U7" s="356"/>
      <c r="V7" s="2361"/>
      <c r="W7" s="2361"/>
      <c r="X7" s="2361"/>
      <c r="Y7" s="2361"/>
      <c r="Z7" s="2361"/>
      <c r="AA7" s="2361"/>
      <c r="AB7" s="2361"/>
      <c r="AC7" s="2361"/>
      <c r="AD7" s="2361"/>
      <c r="AE7" s="2361"/>
      <c r="AF7" s="2361"/>
      <c r="AG7" s="2361"/>
      <c r="AH7" s="2361"/>
      <c r="AI7" s="2361"/>
      <c r="AJ7" s="2361"/>
      <c r="AK7" s="2361"/>
      <c r="AL7" s="2361"/>
      <c r="AM7" s="2066" t="s">
        <v>540</v>
      </c>
      <c r="AO7" s="556"/>
      <c r="AP7" s="556" t="str">
        <f>IF(T7="","",T7)</f>
        <v>Группа потребителей</v>
      </c>
      <c r="AQ7" s="556"/>
      <c r="AR7" s="556"/>
      <c r="AS7" s="1211">
        <v>0</v>
      </c>
    </row>
    <row customHeight="1" ht="11.25" hidden="1">
      <c r="A8" s="1419"/>
      <c r="B8" s="1419"/>
      <c r="C8" s="1419"/>
      <c r="D8" s="1419"/>
      <c r="E8" s="2315"/>
      <c r="F8" s="2315"/>
      <c r="G8" s="2315"/>
      <c r="H8" s="2315"/>
      <c r="I8" s="2342"/>
      <c r="J8" s="2342"/>
      <c r="K8" s="2312">
        <f>J7&amp;".1"</f>
      </c>
      <c r="L8" s="1420" t="s">
        <v>541</v>
      </c>
      <c r="M8" s="593"/>
      <c r="N8" s="1422"/>
      <c r="O8" s="1422"/>
      <c r="P8" s="2313"/>
      <c r="Q8" s="2313"/>
      <c r="R8" s="413">
        <v>1</v>
      </c>
      <c r="S8" s="2065">
        <f>$K8</f>
      </c>
      <c r="T8" s="2070"/>
      <c r="U8" s="2071"/>
      <c r="V8" s="2072"/>
      <c r="W8" s="1405"/>
      <c r="X8" s="2072"/>
      <c r="Y8" s="2073"/>
      <c r="Z8" s="2362"/>
      <c r="AA8" s="2168" t="s">
        <v>65</v>
      </c>
      <c r="AB8" s="2362"/>
      <c r="AC8" s="2168" t="s">
        <v>65</v>
      </c>
      <c r="AD8" s="2072"/>
      <c r="AE8" s="1405"/>
      <c r="AF8" s="2072"/>
      <c r="AG8" s="2073"/>
      <c r="AH8" s="2362"/>
      <c r="AI8" s="2168" t="s">
        <v>65</v>
      </c>
      <c r="AJ8" s="2362"/>
      <c r="AK8" s="2168" t="s">
        <v>65</v>
      </c>
      <c r="AL8" s="1405"/>
      <c r="AM8" s="2309" t="s">
        <v>542</v>
      </c>
      <c r="AN8" s="567">
        <f>STRCHECKDATE(V9:AL9)</f>
      </c>
      <c r="AO8" s="556"/>
      <c r="AP8" s="556" t="str">
        <f>IF(T8="","",T8)</f>
        <v/>
      </c>
      <c r="AQ8" s="556"/>
      <c r="AR8" s="556"/>
      <c r="AS8" s="1211">
        <v>0</v>
      </c>
    </row>
    <row customHeight="1" ht="0.75" hidden="1">
      <c r="A9" s="1419"/>
      <c r="B9" s="1419"/>
      <c r="C9" s="1419"/>
      <c r="D9" s="1419"/>
      <c r="E9" s="2315"/>
      <c r="F9" s="2315"/>
      <c r="G9" s="2315"/>
      <c r="H9" s="2315"/>
      <c r="I9" s="2342"/>
      <c r="J9" s="2342"/>
      <c r="K9" s="2312"/>
      <c r="L9" s="1420"/>
      <c r="M9" s="593"/>
      <c r="N9" s="1422"/>
      <c r="O9" s="1422"/>
      <c r="P9" s="2313"/>
      <c r="Q9" s="2313"/>
      <c r="R9" s="413"/>
      <c r="S9" s="1398"/>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1.25" hidden="1">
      <c r="A10" s="1419"/>
      <c r="B10" s="1419"/>
      <c r="C10" s="1419"/>
      <c r="D10" s="1419"/>
      <c r="E10" s="2315"/>
      <c r="F10" s="2315"/>
      <c r="G10" s="2315"/>
      <c r="H10" s="2315"/>
      <c r="I10" s="2342"/>
      <c r="J10" s="2312"/>
      <c r="K10" s="1419"/>
      <c r="L10" s="1420"/>
      <c r="M10" s="593"/>
      <c r="N10" s="1422"/>
      <c r="P10" s="2313"/>
      <c r="Q10" s="2313"/>
      <c r="R10" s="412"/>
      <c r="S10" s="1334"/>
      <c r="T10" s="343"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1.25" hidden="1">
      <c r="A11" s="1419"/>
      <c r="B11" s="1419"/>
      <c r="C11" s="1419"/>
      <c r="D11" s="1419"/>
      <c r="E11" s="2315"/>
      <c r="F11" s="2315"/>
      <c r="G11" s="2315"/>
      <c r="H11" s="2315"/>
      <c r="I11" s="2312"/>
      <c r="J11" s="1419"/>
      <c r="K11" s="1419"/>
      <c r="L11" s="1420"/>
      <c r="M11" s="593"/>
      <c r="P11" s="2313"/>
      <c r="Q11" s="1387"/>
      <c r="R11" s="412"/>
      <c r="S11" s="1334"/>
      <c r="T11" s="421"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0.75" hidden="1">
      <c r="A12" s="1419"/>
      <c r="B12" s="1419"/>
      <c r="C12" s="1419"/>
      <c r="D12" s="1419"/>
      <c r="E12" s="2315"/>
      <c r="F12" s="2315"/>
      <c r="G12" s="2315"/>
      <c r="H12" s="2314"/>
      <c r="I12" s="1419"/>
      <c r="J12" s="1419"/>
      <c r="K12" s="1419"/>
      <c r="L12" s="1420"/>
      <c r="M12" s="1421"/>
      <c r="N12" s="1421"/>
      <c r="O12" s="593"/>
      <c r="P12" s="416"/>
      <c r="Q12" s="431"/>
      <c r="R12" s="411"/>
      <c r="S12" s="1442"/>
      <c r="T12" s="1443"/>
      <c r="U12" s="1444"/>
      <c r="V12" s="1444"/>
      <c r="W12" s="1444"/>
      <c r="X12" s="1444"/>
      <c r="Y12" s="1444"/>
      <c r="Z12" s="1444"/>
      <c r="AA12" s="1444"/>
      <c r="AB12" s="1444"/>
      <c r="AC12" s="1444"/>
      <c r="AD12" s="1444"/>
      <c r="AE12" s="1444"/>
      <c r="AF12" s="1444"/>
      <c r="AG12" s="1444"/>
      <c r="AH12" s="1444"/>
      <c r="AI12" s="1444"/>
      <c r="AJ12" s="1444"/>
      <c r="AK12" s="1444"/>
      <c r="AL12" s="1444"/>
      <c r="AM12" s="1445"/>
      <c r="AO12" s="556"/>
      <c r="AP12" s="556" t="str">
        <f>IF(T12="","",T12)</f>
        <v/>
      </c>
      <c r="AQ12" s="556"/>
      <c r="AR12" s="556"/>
      <c r="AS12" s="1211">
        <v>0</v>
      </c>
    </row>
    <row s="2851" customFormat="1" customHeight="1" ht="0.7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0.7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0.7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AD17" s="1416"/>
      <c r="AE17" s="1416"/>
      <c r="AF17" s="1416"/>
      <c r="AG17" s="1417"/>
      <c r="AH17" s="2323"/>
      <c r="AI17" s="2324" t="s">
        <v>65</v>
      </c>
      <c r="AJ17" s="2323"/>
      <c r="AK17" s="2324" t="s">
        <v>65</v>
      </c>
      <c r="AS17" s="1211">
        <v>0</v>
      </c>
    </row>
    <row customHeight="1" ht="14.25" hidden="1">
      <c r="AD18" s="1416"/>
      <c r="AE18" s="1416"/>
      <c r="AF18" s="1416"/>
      <c r="AG18" s="384" t="str">
        <f>AH17&amp;"-"&amp;AJ17</f>
        <v>-</v>
      </c>
      <c r="AH18" s="2324"/>
      <c r="AI18" s="2324"/>
      <c r="AJ18" s="2324"/>
      <c r="AK18" s="2324"/>
      <c r="AS18" s="1211">
        <v>0</v>
      </c>
    </row>
    <row customHeight="1" ht="14.25" hidden="1">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14.2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AS23" s="1211">
        <v>0</v>
      </c>
    </row>
    <row customHeight="1" ht="14.25" hidden="1">
      <c r="O24" s="1420"/>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54.75">
      <c r="Q26" s="432"/>
      <c r="R26" s="432"/>
      <c r="S26" s="2363"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63"/>
      <c r="U26" s="2363"/>
      <c r="V26" s="2363"/>
      <c r="W26" s="2363"/>
      <c r="X26" s="2363"/>
      <c r="Y26" s="2363"/>
      <c r="Z26" s="2363"/>
      <c r="AA26" s="2363"/>
      <c r="AB26" s="2363"/>
      <c r="AC26" s="2363"/>
      <c r="AD26" s="2363"/>
      <c r="AE26" s="2363"/>
      <c r="AF26" s="2363"/>
      <c r="AG26" s="2363"/>
      <c r="AH26" s="2363"/>
      <c r="AI26" s="2363"/>
      <c r="AJ26" s="2363"/>
      <c r="AK26" s="1299"/>
      <c r="AS26" s="1211">
        <v>52</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18.7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396"/>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211">
        <v>14</v>
      </c>
    </row>
    <row customHeight="1" ht="35.699999999999996">
      <c r="Q40" s="432"/>
      <c r="R40" s="432"/>
      <c r="S40" s="2329"/>
      <c r="T40" s="2265"/>
      <c r="U40" s="1087"/>
      <c r="V40" s="2316" t="s">
        <v>563</v>
      </c>
      <c r="W40" s="2339"/>
      <c r="X40" s="2318" t="s">
        <v>565</v>
      </c>
      <c r="Y40" s="2319"/>
      <c r="Z40" s="2318" t="s">
        <v>566</v>
      </c>
      <c r="AA40" s="2325"/>
      <c r="AB40" s="2319"/>
      <c r="AC40" s="2334"/>
      <c r="AD40" s="2316" t="s">
        <v>579</v>
      </c>
      <c r="AE40" s="2339"/>
      <c r="AF40" s="2318" t="s">
        <v>565</v>
      </c>
      <c r="AG40" s="2319"/>
      <c r="AH40" s="2318" t="s">
        <v>566</v>
      </c>
      <c r="AI40" s="2325"/>
      <c r="AJ40" s="2319"/>
      <c r="AK40" s="2334"/>
      <c r="AL40" s="2337"/>
      <c r="AM40" s="2183"/>
      <c r="AS40" s="1211">
        <v>34</v>
      </c>
    </row>
    <row customHeight="1" ht="35.699999999999996">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Q41" s="432"/>
      <c r="R41" s="432"/>
      <c r="S41" s="2329"/>
      <c r="T41" s="2265"/>
      <c r="U41" s="358"/>
      <c r="V41" s="2317"/>
      <c r="W41" s="2340"/>
      <c r="X41" s="1278" t="s">
        <v>574</v>
      </c>
      <c r="Y41" s="1278" t="s">
        <v>575</v>
      </c>
      <c r="Z41" s="1394" t="s">
        <v>576</v>
      </c>
      <c r="AA41" s="2326" t="s">
        <v>577</v>
      </c>
      <c r="AB41" s="2327"/>
      <c r="AC41" s="2335"/>
      <c r="AD41" s="2317"/>
      <c r="AE41" s="2340"/>
      <c r="AF41" s="1278" t="s">
        <v>574</v>
      </c>
      <c r="AG41" s="1278" t="s">
        <v>575</v>
      </c>
      <c r="AH41" s="1394" t="s">
        <v>576</v>
      </c>
      <c r="AI41" s="2326" t="s">
        <v>577</v>
      </c>
      <c r="AJ41" s="2327"/>
      <c r="AK41" s="2335"/>
      <c r="AL41" s="2338"/>
      <c r="AM41" s="2183"/>
      <c r="AS41" s="1211">
        <v>34</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91">
        <f>OFFSET(V42,0,-1)+1</f>
        <v>3</v>
      </c>
      <c r="W42" s="1391"/>
      <c r="X42" s="1391">
        <f>OFFSET(X42,0,-1)+1</f>
        <v>1</v>
      </c>
      <c r="Y42" s="1391">
        <f>OFFSET(Y42,0,-1)+1</f>
        <v>2</v>
      </c>
      <c r="Z42" s="1391">
        <f>OFFSET(Z42,0,-1)+1</f>
        <v>3</v>
      </c>
      <c r="AA42" s="2328">
        <f>OFFSET(AA42,0,-1)+1</f>
        <v>4</v>
      </c>
      <c r="AB42" s="2328"/>
      <c r="AC42" s="1391">
        <f>OFFSET(AC42,0,-2)+1</f>
        <v>5</v>
      </c>
      <c r="AD42" s="1391">
        <f>OFFSET(AD42,0,-1)+1</f>
        <v>6</v>
      </c>
      <c r="AE42" s="1391"/>
      <c r="AF42" s="1391">
        <f>OFFSET(AF42,0,-1)+1</f>
        <v>1</v>
      </c>
      <c r="AG42" s="1391">
        <f>OFFSET(AG42,0,-1)+1</f>
        <v>2</v>
      </c>
      <c r="AH42" s="1391">
        <f>OFFSET(AH42,0,-1)+1</f>
        <v>3</v>
      </c>
      <c r="AI42" s="2328">
        <f>OFFSET(AI42,0,-1)+1</f>
        <v>4</v>
      </c>
      <c r="AJ42" s="2328"/>
      <c r="AK42" s="1391">
        <f>OFFSET(AK42,0,-2)+1</f>
        <v>5</v>
      </c>
      <c r="AL42" s="1301">
        <f>OFFSET(AL42,0,-1)</f>
        <v>5</v>
      </c>
      <c r="AM42" s="1391">
        <f>OFFSET(AM42,0,-1)+1</f>
        <v>6</v>
      </c>
      <c r="AN42" s="567"/>
      <c r="AO42" s="567"/>
      <c r="AP42" s="567"/>
      <c r="AQ42" s="567"/>
      <c r="AR42" s="567"/>
      <c r="AS42" s="552">
        <v>0</v>
      </c>
    </row>
    <row customHeight="1" ht="22.049999999999997">
      <c r="A43" s="1419" t="s">
        <v>253</v>
      </c>
      <c r="B43" s="1419"/>
      <c r="C43" s="1419"/>
      <c r="D43" s="1419"/>
      <c r="E43" s="2314">
        <v>1</v>
      </c>
      <c r="F43" s="1419"/>
      <c r="G43" s="1419"/>
      <c r="H43" s="1419"/>
      <c r="I43" s="1419"/>
      <c r="J43" s="1419"/>
      <c r="K43" s="1419"/>
      <c r="L43" s="1420"/>
      <c r="M43" s="1421"/>
      <c r="N43" s="1421"/>
      <c r="O43" s="1421"/>
      <c r="P43" s="417"/>
      <c r="Q43" s="416"/>
      <c r="R43" s="411"/>
      <c r="S43" s="1392">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21</v>
      </c>
    </row>
    <row customHeight="1" ht="22.049999999999997">
      <c r="A44" s="1419" t="s">
        <v>253</v>
      </c>
      <c r="B44" s="1419" t="s">
        <v>254</v>
      </c>
      <c r="C44" s="1419"/>
      <c r="D44" s="1419"/>
      <c r="E44" s="2315"/>
      <c r="F44" s="2314">
        <v>1</v>
      </c>
      <c r="G44" s="1419"/>
      <c r="H44" s="1419"/>
      <c r="I44" s="1419"/>
      <c r="J44" s="1419"/>
      <c r="K44" s="1419"/>
      <c r="L44" s="1420"/>
      <c r="M44" s="1421"/>
      <c r="N44" s="1421"/>
      <c r="O44" s="1421"/>
      <c r="P44" s="1388"/>
      <c r="Q44" s="408"/>
      <c r="R44" s="409"/>
      <c r="S44" s="1392"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21</v>
      </c>
    </row>
    <row customHeight="1" ht="24">
      <c r="A45" s="1419" t="s">
        <v>253</v>
      </c>
      <c r="B45" s="1419" t="s">
        <v>254</v>
      </c>
      <c r="C45" s="1419" t="s">
        <v>255</v>
      </c>
      <c r="D45" s="1419"/>
      <c r="E45" s="2315"/>
      <c r="F45" s="2315"/>
      <c r="G45" s="2314">
        <v>1</v>
      </c>
      <c r="H45" s="1419"/>
      <c r="I45" s="1419"/>
      <c r="J45" s="1419"/>
      <c r="K45" s="1419"/>
      <c r="L45" s="1420"/>
      <c r="M45" s="1421"/>
      <c r="N45" s="1421"/>
      <c r="O45" s="1421"/>
      <c r="P45" s="410"/>
      <c r="Q45" s="408"/>
      <c r="R45" s="409"/>
      <c r="S45" s="1392"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2.049999999999997">
      <c r="A46" s="1419" t="s">
        <v>253</v>
      </c>
      <c r="B46" s="1419" t="s">
        <v>254</v>
      </c>
      <c r="C46" s="1419" t="s">
        <v>255</v>
      </c>
      <c r="D46" s="1419" t="s">
        <v>256</v>
      </c>
      <c r="E46" s="2315"/>
      <c r="F46" s="2315"/>
      <c r="G46" s="2315"/>
      <c r="H46" s="2314">
        <v>1</v>
      </c>
      <c r="I46" s="1419"/>
      <c r="J46" s="1419"/>
      <c r="K46" s="1419"/>
      <c r="L46" s="1420"/>
      <c r="M46" s="1421"/>
      <c r="N46" s="1421"/>
      <c r="O46" s="1421"/>
      <c r="P46" s="410"/>
      <c r="Q46" s="408"/>
      <c r="R46" s="409"/>
      <c r="S46" s="1392"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21</v>
      </c>
    </row>
    <row s="2851" customFormat="1" customHeight="1" ht="0">
      <c r="A47" s="1399" t="s">
        <v>253</v>
      </c>
      <c r="B47" s="1399" t="s">
        <v>254</v>
      </c>
      <c r="C47" s="1399" t="s">
        <v>255</v>
      </c>
      <c r="D47" s="1399" t="s">
        <v>256</v>
      </c>
      <c r="E47" s="2315"/>
      <c r="F47" s="2315"/>
      <c r="G47" s="2315"/>
      <c r="H47" s="2315"/>
      <c r="I47" s="2312" t="str">
        <f>S46&amp;".1"</f>
        <v>....1</v>
      </c>
      <c r="J47" s="1399"/>
      <c r="K47" s="1399"/>
      <c r="L47" s="1402" t="s">
        <v>535</v>
      </c>
      <c r="M47" s="566"/>
      <c r="N47" s="566"/>
      <c r="O47" s="566"/>
      <c r="P47" s="2313">
        <v>1</v>
      </c>
      <c r="Q47" s="1387"/>
      <c r="R47" s="412"/>
      <c r="S47" s="1098"/>
      <c r="T47" s="1439"/>
      <c r="U47" s="1440"/>
      <c r="V47" s="2352"/>
      <c r="W47" s="2353"/>
      <c r="X47" s="2353"/>
      <c r="Y47" s="2353"/>
      <c r="Z47" s="2353"/>
      <c r="AA47" s="2353"/>
      <c r="AB47" s="2353"/>
      <c r="AC47" s="2354"/>
      <c r="AD47" s="2352"/>
      <c r="AE47" s="2353"/>
      <c r="AF47" s="2353"/>
      <c r="AG47" s="2353"/>
      <c r="AH47" s="2353"/>
      <c r="AI47" s="2353"/>
      <c r="AJ47" s="2353"/>
      <c r="AK47" s="2353"/>
      <c r="AL47" s="2354"/>
      <c r="AM47" s="1441"/>
      <c r="AO47" s="556"/>
      <c r="AP47" s="556" t="str">
        <f>IF(T47="","",T47)</f>
        <v/>
      </c>
      <c r="AQ47" s="556"/>
      <c r="AR47" s="556"/>
      <c r="AS47" s="567">
        <v>0</v>
      </c>
    </row>
    <row customHeight="1" ht="22.049999999999997">
      <c r="A48" s="1419" t="s">
        <v>253</v>
      </c>
      <c r="B48" s="1419" t="s">
        <v>254</v>
      </c>
      <c r="C48" s="1419" t="s">
        <v>255</v>
      </c>
      <c r="D48" s="1419" t="s">
        <v>256</v>
      </c>
      <c r="E48" s="2315"/>
      <c r="F48" s="2315"/>
      <c r="G48" s="2315"/>
      <c r="H48" s="2315"/>
      <c r="I48" s="2342"/>
      <c r="J48" s="2312" t="str">
        <f>S46&amp;".1"</f>
        <v>....1</v>
      </c>
      <c r="K48" s="1419"/>
      <c r="L48" s="1420" t="s">
        <v>538</v>
      </c>
      <c r="P48" s="2313"/>
      <c r="Q48" s="2313">
        <v>1</v>
      </c>
      <c r="R48" s="413"/>
      <c r="S48" s="1392" t="str">
        <f>$J48</f>
        <v>....1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21</v>
      </c>
    </row>
    <row customHeight="1" ht="22.049999999999997">
      <c r="A49" s="1419" t="s">
        <v>253</v>
      </c>
      <c r="B49" s="1419" t="s">
        <v>254</v>
      </c>
      <c r="C49" s="1419" t="s">
        <v>255</v>
      </c>
      <c r="D49" s="1419" t="s">
        <v>256</v>
      </c>
      <c r="E49" s="2315"/>
      <c r="F49" s="2315"/>
      <c r="G49" s="2315"/>
      <c r="H49" s="2315"/>
      <c r="I49" s="2342"/>
      <c r="J49" s="2342"/>
      <c r="K49" s="2312" t="str">
        <f>J48&amp;".1"</f>
        <v>....1.1</v>
      </c>
      <c r="L49" s="1420" t="s">
        <v>541</v>
      </c>
      <c r="P49" s="2313"/>
      <c r="Q49" s="2313"/>
      <c r="R49" s="413">
        <v>1</v>
      </c>
      <c r="S49" s="1392" t="str">
        <f>$K49</f>
        <v>....1.1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580</v>
      </c>
      <c r="AN49" s="567">
        <f>STRCHECKDATE(V50:AL50)</f>
      </c>
      <c r="AO49" s="556"/>
      <c r="AP49" s="556" t="str">
        <f>IF(T49="","",T49)</f>
        <v/>
      </c>
      <c r="AQ49" s="556"/>
      <c r="AR49" s="556"/>
      <c r="AS49" s="1211">
        <v>21</v>
      </c>
    </row>
    <row customHeight="1" ht="1.05">
      <c r="A50" s="1419" t="s">
        <v>253</v>
      </c>
      <c r="B50" s="1419" t="s">
        <v>254</v>
      </c>
      <c r="C50" s="1419" t="s">
        <v>255</v>
      </c>
      <c r="D50" s="1419" t="s">
        <v>256</v>
      </c>
      <c r="E50" s="2315"/>
      <c r="F50" s="2315"/>
      <c r="G50" s="2315"/>
      <c r="H50" s="2315"/>
      <c r="I50" s="2342"/>
      <c r="J50" s="2342"/>
      <c r="K50" s="2312"/>
      <c r="L50" s="1420"/>
      <c r="P50" s="2313"/>
      <c r="Q50" s="2313"/>
      <c r="R50" s="413"/>
      <c r="S50" s="1398"/>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1</v>
      </c>
    </row>
    <row customHeight="1" ht="11.549999999999999">
      <c r="A51" s="1419" t="s">
        <v>253</v>
      </c>
      <c r="B51" s="1419" t="s">
        <v>254</v>
      </c>
      <c r="C51" s="1419" t="s">
        <v>255</v>
      </c>
      <c r="D51" s="1419" t="s">
        <v>256</v>
      </c>
      <c r="E51" s="2315"/>
      <c r="F51" s="2315"/>
      <c r="G51" s="2315"/>
      <c r="H51" s="2315"/>
      <c r="I51" s="2342"/>
      <c r="J51" s="2312"/>
      <c r="K51" s="1419"/>
      <c r="L51" s="1420"/>
      <c r="P51" s="2313"/>
      <c r="Q51" s="2313"/>
      <c r="R51" s="412"/>
      <c r="S51" s="1334"/>
      <c r="T51" s="343"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253</v>
      </c>
      <c r="B52" s="1419" t="s">
        <v>254</v>
      </c>
      <c r="C52" s="1419" t="s">
        <v>255</v>
      </c>
      <c r="D52" s="1419" t="s">
        <v>256</v>
      </c>
      <c r="E52" s="2315"/>
      <c r="F52" s="2315"/>
      <c r="G52" s="2315"/>
      <c r="H52" s="2315"/>
      <c r="I52" s="2312"/>
      <c r="J52" s="1419"/>
      <c r="K52" s="1419"/>
      <c r="L52" s="1420"/>
      <c r="P52" s="2313"/>
      <c r="Q52" s="1387"/>
      <c r="R52" s="412"/>
      <c r="S52" s="1334"/>
      <c r="T52" s="421"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0">
      <c r="A53" s="1419" t="s">
        <v>253</v>
      </c>
      <c r="B53" s="1419" t="s">
        <v>254</v>
      </c>
      <c r="C53" s="1419" t="s">
        <v>255</v>
      </c>
      <c r="D53" s="1419" t="s">
        <v>256</v>
      </c>
      <c r="E53" s="2315"/>
      <c r="F53" s="2315"/>
      <c r="G53" s="2315"/>
      <c r="H53" s="2314"/>
      <c r="I53" s="1419"/>
      <c r="J53" s="1419"/>
      <c r="K53" s="1419"/>
      <c r="L53" s="1420"/>
      <c r="M53" s="1421"/>
      <c r="N53" s="1421"/>
      <c r="O53" s="593"/>
      <c r="P53" s="416"/>
      <c r="Q53" s="431"/>
      <c r="R53" s="411"/>
      <c r="S53" s="1442"/>
      <c r="T53" s="1443"/>
      <c r="U53" s="1444"/>
      <c r="V53" s="1444"/>
      <c r="W53" s="1444"/>
      <c r="X53" s="1444"/>
      <c r="Y53" s="1444"/>
      <c r="Z53" s="1444"/>
      <c r="AA53" s="1444"/>
      <c r="AB53" s="1444"/>
      <c r="AC53" s="1444"/>
      <c r="AD53" s="1444"/>
      <c r="AE53" s="1444"/>
      <c r="AF53" s="1444"/>
      <c r="AG53" s="1444"/>
      <c r="AH53" s="1444"/>
      <c r="AI53" s="1444"/>
      <c r="AJ53" s="1444"/>
      <c r="AK53" s="1444"/>
      <c r="AL53" s="1444"/>
      <c r="AM53" s="1445"/>
      <c r="AO53" s="556"/>
      <c r="AP53" s="556" t="str">
        <f>IF(T53="","",T53)</f>
        <v/>
      </c>
      <c r="AQ53" s="556"/>
      <c r="AR53" s="556"/>
      <c r="AS53" s="1211">
        <v>0</v>
      </c>
    </row>
    <row s="2851" customFormat="1" customHeight="1" ht="1.05">
      <c r="A54" s="1399" t="s">
        <v>253</v>
      </c>
      <c r="B54" s="1399" t="s">
        <v>254</v>
      </c>
      <c r="C54" s="1399" t="s">
        <v>255</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1</v>
      </c>
    </row>
    <row s="2851" customFormat="1" customHeight="1" ht="1.05">
      <c r="A55" s="1399" t="s">
        <v>253</v>
      </c>
      <c r="B55" s="1399" t="s">
        <v>254</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1</v>
      </c>
    </row>
    <row s="2851" customFormat="1" customHeight="1" ht="1.05">
      <c r="A56" s="1399" t="s">
        <v>253</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1</v>
      </c>
    </row>
    <row s="2851" customFormat="1" customHeight="1" ht="1.05">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1</v>
      </c>
    </row>
    <row customHeight="1" ht="11.549999999999999">
      <c r="M58" s="1216"/>
      <c r="N58" s="1216"/>
      <c r="O58" s="593"/>
      <c r="P58" s="1211"/>
      <c r="Q58" s="1211"/>
      <c r="R58" s="1211"/>
      <c r="S58" s="1211"/>
      <c r="AN58" s="1211"/>
      <c r="AO58" s="1211"/>
      <c r="AP58" s="1211"/>
      <c r="AQ58" s="1211"/>
      <c r="AR58" s="1211"/>
      <c r="AS58" s="1211">
        <v>11</v>
      </c>
    </row>
    <row customHeight="1" ht="23.25">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22</v>
      </c>
    </row>
    <row customHeight="1" ht="30.45">
      <c r="O60" s="59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29</v>
      </c>
    </row>
    <row customHeight="1" ht="42">
      <c r="O61" s="59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211">
        <v>40</v>
      </c>
    </row>
    <row customHeight="1" ht="14.699999999999998">
      <c r="O62" s="593"/>
      <c r="AS62" s="1211">
        <v>14</v>
      </c>
    </row>
    <row customHeight="1" ht="21">
      <c r="O63" s="593"/>
      <c r="S63" s="1309"/>
      <c r="T63" s="2355"/>
      <c r="U63" s="2341"/>
      <c r="V63" s="2341"/>
      <c r="W63" s="2341"/>
      <c r="X63" s="2341"/>
      <c r="Y63" s="2341"/>
      <c r="Z63" s="2341"/>
      <c r="AA63" s="2341"/>
      <c r="AB63" s="2341"/>
      <c r="AC63" s="2341"/>
      <c r="AD63" s="2341"/>
      <c r="AE63" s="2341"/>
      <c r="AF63" s="2341"/>
      <c r="AG63" s="2341"/>
      <c r="AH63" s="2341"/>
      <c r="AI63" s="2341"/>
      <c r="AJ63" s="2341"/>
      <c r="AK63" s="2341"/>
      <c r="AL63" s="2341"/>
      <c r="AM63" s="2341"/>
      <c r="AS63" s="1211">
        <v>20</v>
      </c>
    </row>
    <row customHeight="1" ht="29.25">
      <c r="O64" s="59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28</v>
      </c>
    </row>
    <row customHeight="1" ht="35.699999999999996">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211">
        <v>34</v>
      </c>
    </row>
    <row customHeight="1" ht="22.5" hidden="1">
      <c r="A66" s="1216" t="s">
        <v>86</v>
      </c>
      <c r="B66" s="1216">
        <v>0</v>
      </c>
      <c r="C66" s="1216">
        <v>0</v>
      </c>
      <c r="D66" s="1216">
        <v>0</v>
      </c>
      <c r="E66" s="1216">
        <v>0</v>
      </c>
      <c r="F66" s="1216">
        <v>0</v>
      </c>
      <c r="G66" s="1216">
        <v>0</v>
      </c>
      <c r="H66" s="1216">
        <v>0</v>
      </c>
      <c r="I66" s="1216">
        <v>0</v>
      </c>
      <c r="J66" s="1216">
        <v>0</v>
      </c>
      <c r="K66" s="1216">
        <v>0</v>
      </c>
      <c r="L66" s="1385">
        <v>0</v>
      </c>
      <c r="M66" s="1418">
        <v>0</v>
      </c>
      <c r="N66" s="1418">
        <v>0</v>
      </c>
      <c r="O66" s="1418">
        <v>0</v>
      </c>
      <c r="P66" s="1384">
        <v>0</v>
      </c>
      <c r="Q66" s="400">
        <v>3</v>
      </c>
      <c r="R66" s="400">
        <v>3</v>
      </c>
      <c r="S66" s="637">
        <v>12</v>
      </c>
      <c r="T66" s="1211">
        <v>31</v>
      </c>
      <c r="U66" s="1211">
        <v>0</v>
      </c>
      <c r="V66" s="1211">
        <v>0</v>
      </c>
      <c r="W66" s="1211">
        <v>0</v>
      </c>
      <c r="X66" s="1211">
        <v>0</v>
      </c>
      <c r="Y66" s="1211">
        <v>0</v>
      </c>
      <c r="Z66" s="1211">
        <v>0</v>
      </c>
      <c r="AA66" s="1211">
        <v>0</v>
      </c>
      <c r="AB66" s="1211">
        <v>0</v>
      </c>
      <c r="AC66" s="1211">
        <v>0</v>
      </c>
      <c r="AD66" s="1211">
        <v>24</v>
      </c>
      <c r="AE66" s="1211">
        <v>0</v>
      </c>
      <c r="AF66" s="1211">
        <v>24</v>
      </c>
      <c r="AG66" s="1211">
        <v>24</v>
      </c>
      <c r="AH66" s="1211">
        <v>11</v>
      </c>
      <c r="AI66" s="1211">
        <v>3</v>
      </c>
      <c r="AJ66" s="1211">
        <v>11</v>
      </c>
      <c r="AK66" s="1211">
        <v>0</v>
      </c>
      <c r="AL66" s="1211">
        <v>4</v>
      </c>
      <c r="AM66" s="1211">
        <v>115</v>
      </c>
      <c r="AN66" s="567">
        <v>10</v>
      </c>
      <c r="AO66" s="567">
        <v>10</v>
      </c>
      <c r="AP66" s="567">
        <v>10</v>
      </c>
      <c r="AQ66" s="567">
        <v>10</v>
      </c>
      <c r="AR66" s="567">
        <v>10</v>
      </c>
      <c r="AS66" s="1211">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C1D18D-5ECB-F9B2-296E-84B5C4CEC60E}" mc:Ignorable="x14ac xr xr2 xr3">
  <sheetPr>
    <tabColor theme="6" tint="0.4"/>
  </sheetPr>
  <dimension ref="A1:AS66"/>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3680" width="3.7109375" hidden="1" customWidth="1"/>
    <col min="17" max="18" style="3677" width="3.00390625" customWidth="1"/>
    <col min="19" max="19" style="3681" width="12.00390625" customWidth="1"/>
    <col min="20" max="20" style="2774" width="31.00390625" customWidth="1"/>
    <col min="21" max="21" style="2774" width="0.140625" customWidth="1"/>
    <col min="22" max="22" style="2774" width="24.7109375" hidden="1" customWidth="1"/>
    <col min="23" max="23" style="2774" width="0.140625" hidden="1" customWidth="1"/>
    <col min="24" max="25" style="2774" width="24.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24.7109375" customWidth="1"/>
    <col min="31" max="31" style="2774" width="0.140625" customWidth="1"/>
    <col min="32" max="33" style="2774" width="24.00390625" customWidth="1"/>
    <col min="34" max="34" style="2774" width="11.00390625" customWidth="1"/>
    <col min="35" max="35" style="2774" width="3.7109375" customWidth="1"/>
    <col min="36" max="36" style="2774" width="11.00390625" customWidth="1"/>
    <col min="37" max="37" style="2774" width="8.57421875" hidden="1" customWidth="1"/>
    <col min="38" max="38" style="2774" width="4.00390625" customWidth="1"/>
    <col min="39" max="39" style="2774" width="115.00390625" customWidth="1"/>
    <col min="40" max="44" style="2851" width="10.00390625" customWidth="1"/>
    <col min="45" max="45" style="2774" width="10.57421875" hidden="1"/>
  </cols>
  <sheetData>
    <row customHeight="1" ht="22.5" hidden="1">
      <c r="Y1" s="383"/>
      <c r="Z1" s="383"/>
      <c r="AG1" s="383"/>
      <c r="AH1" s="383"/>
      <c r="AS1" s="1211" t="s">
        <v>14</v>
      </c>
    </row>
    <row customHeight="1" ht="21" hidden="1">
      <c r="A2" s="1419"/>
      <c r="B2" s="1419"/>
      <c r="C2" s="1419"/>
      <c r="D2" s="1419"/>
      <c r="E2" s="2314">
        <v>1</v>
      </c>
      <c r="F2" s="1419"/>
      <c r="G2" s="1419"/>
      <c r="H2" s="1419"/>
      <c r="I2" s="1419"/>
      <c r="J2" s="1419"/>
      <c r="K2" s="1419"/>
      <c r="L2" s="1420"/>
      <c r="M2" s="1421"/>
      <c r="N2" s="1421"/>
      <c r="O2" s="1421"/>
      <c r="P2" s="417"/>
      <c r="Q2" s="416"/>
      <c r="R2" s="411"/>
      <c r="S2" s="1392">
        <f>INDEX(PT_DIFFERENTIATION_NUM_NTAR,MATCH(A2,PT_DIFFERENTIATION_NTAR_ID,0))</f>
      </c>
      <c r="T2" s="354" t="s">
        <v>202</v>
      </c>
      <c r="U2" s="356"/>
      <c r="V2" s="2298"/>
      <c r="W2" s="2299"/>
      <c r="X2" s="2299"/>
      <c r="Y2" s="2299"/>
      <c r="Z2" s="2299"/>
      <c r="AA2" s="2299"/>
      <c r="AB2" s="2299"/>
      <c r="AC2" s="2300"/>
      <c r="AD2" s="2298">
        <f>INDEX(PT_DIFFERENTIATION_NTAR,MATCH(A2,PT_DIFFERENTIATION_NTAR_ID,0))</f>
      </c>
      <c r="AE2" s="2299"/>
      <c r="AF2" s="2299"/>
      <c r="AG2" s="2299"/>
      <c r="AH2" s="2299"/>
      <c r="AI2" s="2299"/>
      <c r="AJ2" s="2299"/>
      <c r="AK2" s="2299"/>
      <c r="AL2" s="2300"/>
      <c r="AM2" s="1314" t="s">
        <v>528</v>
      </c>
      <c r="AO2" s="556"/>
      <c r="AP2" s="556" t="str">
        <f>IF(T2="","",T2)</f>
        <v>Наименование тарифа</v>
      </c>
      <c r="AQ2" s="556"/>
      <c r="AR2" s="556"/>
      <c r="AS2" s="1211">
        <v>0</v>
      </c>
    </row>
    <row customHeight="1" ht="21" hidden="1">
      <c r="A3" s="1419"/>
      <c r="B3" s="1419"/>
      <c r="C3" s="1419"/>
      <c r="D3" s="1419"/>
      <c r="E3" s="2315"/>
      <c r="F3" s="2314">
        <v>1</v>
      </c>
      <c r="G3" s="1419"/>
      <c r="H3" s="1419"/>
      <c r="I3" s="1419"/>
      <c r="J3" s="1419"/>
      <c r="K3" s="1419"/>
      <c r="L3" s="1420"/>
      <c r="M3" s="1421"/>
      <c r="N3" s="1421"/>
      <c r="O3" s="1421"/>
      <c r="P3" s="1388"/>
      <c r="Q3" s="408"/>
      <c r="R3" s="409"/>
      <c r="S3" s="1392">
        <f>INDEX(PT_DIFFERENTIATION_NUM_TER,MATCH(B3,PT_DIFFERENTIATION_TER_ID,0))</f>
      </c>
      <c r="T3" s="364" t="s">
        <v>529</v>
      </c>
      <c r="U3" s="356"/>
      <c r="V3" s="2298"/>
      <c r="W3" s="2299"/>
      <c r="X3" s="2299"/>
      <c r="Y3" s="2299"/>
      <c r="Z3" s="2299"/>
      <c r="AA3" s="2299"/>
      <c r="AB3" s="2299"/>
      <c r="AC3" s="2300"/>
      <c r="AD3" s="2298">
        <f>INDEX(PT_DIFFERENTIATION_TER,MATCH(B3,PT_DIFFERENTIATION_TER_ID,0))</f>
      </c>
      <c r="AE3" s="2299"/>
      <c r="AF3" s="2299"/>
      <c r="AG3" s="2299"/>
      <c r="AH3" s="2299"/>
      <c r="AI3" s="2299"/>
      <c r="AJ3" s="2299"/>
      <c r="AK3" s="2299"/>
      <c r="AL3" s="2300"/>
      <c r="AM3" s="1314" t="s">
        <v>530</v>
      </c>
      <c r="AO3" s="556"/>
      <c r="AP3" s="556" t="str">
        <f>IF(T3="","",T3)</f>
        <v>Территория действия тарифа</v>
      </c>
      <c r="AQ3" s="556"/>
      <c r="AR3" s="556"/>
      <c r="AS3" s="1211">
        <v>0</v>
      </c>
    </row>
    <row customHeight="1" ht="23.25" hidden="1">
      <c r="A4" s="1419"/>
      <c r="B4" s="1419"/>
      <c r="C4" s="1419"/>
      <c r="D4" s="1419"/>
      <c r="E4" s="2315"/>
      <c r="F4" s="2315"/>
      <c r="G4" s="2314">
        <v>1</v>
      </c>
      <c r="H4" s="1419"/>
      <c r="I4" s="1419"/>
      <c r="J4" s="1419"/>
      <c r="K4" s="1419"/>
      <c r="L4" s="1420"/>
      <c r="M4" s="1421"/>
      <c r="N4" s="1421"/>
      <c r="O4" s="1421"/>
      <c r="P4" s="410"/>
      <c r="Q4" s="408"/>
      <c r="R4" s="409"/>
      <c r="S4" s="1392">
        <f>INDEX(PT_DIFFERENTIATION_NUM_CS,MATCH(C4,PT_DIFFERENTIATION_CS_ID,0))</f>
      </c>
      <c r="T4" s="365" t="s">
        <v>531</v>
      </c>
      <c r="U4" s="356"/>
      <c r="V4" s="2298"/>
      <c r="W4" s="2299"/>
      <c r="X4" s="2299"/>
      <c r="Y4" s="2299"/>
      <c r="Z4" s="2299"/>
      <c r="AA4" s="2299"/>
      <c r="AB4" s="2299"/>
      <c r="AC4" s="2300"/>
      <c r="AD4" s="2298">
        <f>INDEX(PT_DIFFERENTIATION_CS,MATCH(C4,PT_DIFFERENTIATION_CS_ID,0))</f>
      </c>
      <c r="AE4" s="2299"/>
      <c r="AF4" s="2299"/>
      <c r="AG4" s="2299"/>
      <c r="AH4" s="2299"/>
      <c r="AI4" s="2299"/>
      <c r="AJ4" s="2299"/>
      <c r="AK4" s="2299"/>
      <c r="AL4" s="2300"/>
      <c r="AM4" s="1314" t="s">
        <v>532</v>
      </c>
      <c r="AO4" s="556"/>
      <c r="AP4" s="556" t="str">
        <f>IF(T4="","",T4)</f>
        <v>Наименование системы теплоснабжения </v>
      </c>
      <c r="AQ4" s="556"/>
      <c r="AR4" s="556"/>
      <c r="AS4" s="1211">
        <v>0</v>
      </c>
    </row>
    <row customHeight="1" ht="21" hidden="1">
      <c r="A5" s="1419"/>
      <c r="B5" s="1419"/>
      <c r="C5" s="1419"/>
      <c r="D5" s="1419"/>
      <c r="E5" s="2315"/>
      <c r="F5" s="2315"/>
      <c r="G5" s="2315"/>
      <c r="H5" s="2314">
        <v>1</v>
      </c>
      <c r="I5" s="1419"/>
      <c r="J5" s="1419"/>
      <c r="K5" s="1419"/>
      <c r="L5" s="1420"/>
      <c r="M5" s="1421"/>
      <c r="N5" s="1421"/>
      <c r="O5" s="1421"/>
      <c r="P5" s="410"/>
      <c r="Q5" s="408"/>
      <c r="R5" s="409"/>
      <c r="S5" s="1392">
        <f>INDEX(PT_DIFFERENTIATION_NUM_IST_TE,MATCH(D5,PT_DIFFERENTIATION_IST_TE_ID,0))</f>
      </c>
      <c r="T5" s="366" t="s">
        <v>533</v>
      </c>
      <c r="U5" s="356"/>
      <c r="V5" s="2298"/>
      <c r="W5" s="2299"/>
      <c r="X5" s="2299"/>
      <c r="Y5" s="2299"/>
      <c r="Z5" s="2299"/>
      <c r="AA5" s="2299"/>
      <c r="AB5" s="2299"/>
      <c r="AC5" s="2300"/>
      <c r="AD5" s="2298">
        <f>INDEX(PT_DIFFERENTIATION_IST_TE,MATCH(D5,PT_DIFFERENTIATION_IST_TE_ID,0))</f>
      </c>
      <c r="AE5" s="2299"/>
      <c r="AF5" s="2299"/>
      <c r="AG5" s="2299"/>
      <c r="AH5" s="2299"/>
      <c r="AI5" s="2299"/>
      <c r="AJ5" s="2299"/>
      <c r="AK5" s="2299"/>
      <c r="AL5" s="2300"/>
      <c r="AM5" s="1314" t="s">
        <v>534</v>
      </c>
      <c r="AO5" s="556"/>
      <c r="AP5" s="556" t="str">
        <f>IF(T5="","",T5)</f>
        <v>Источник тепловой энергии  </v>
      </c>
      <c r="AQ5" s="556"/>
      <c r="AR5" s="556"/>
      <c r="AS5" s="1211">
        <v>0</v>
      </c>
    </row>
    <row customHeight="1" ht="14.25" hidden="1">
      <c r="A6" s="1419"/>
      <c r="B6" s="1419"/>
      <c r="C6" s="1419"/>
      <c r="D6" s="1419"/>
      <c r="E6" s="2315"/>
      <c r="F6" s="2315"/>
      <c r="G6" s="2315"/>
      <c r="H6" s="2315"/>
      <c r="I6" s="2312">
        <f>S5&amp;".1"</f>
      </c>
      <c r="J6" s="1419"/>
      <c r="K6" s="1419"/>
      <c r="L6" s="1420" t="s">
        <v>535</v>
      </c>
      <c r="M6" s="593"/>
      <c r="P6" s="2313">
        <v>1</v>
      </c>
      <c r="Q6" s="1387"/>
      <c r="R6" s="412"/>
      <c r="S6" s="1098"/>
      <c r="T6" s="1439"/>
      <c r="U6" s="1440"/>
      <c r="V6" s="2352"/>
      <c r="W6" s="2353"/>
      <c r="X6" s="2353"/>
      <c r="Y6" s="2353"/>
      <c r="Z6" s="2353"/>
      <c r="AA6" s="2353"/>
      <c r="AB6" s="2353"/>
      <c r="AC6" s="2354"/>
      <c r="AD6" s="2352"/>
      <c r="AE6" s="2353"/>
      <c r="AF6" s="2353"/>
      <c r="AG6" s="2353"/>
      <c r="AH6" s="2353"/>
      <c r="AI6" s="2353"/>
      <c r="AJ6" s="2353"/>
      <c r="AK6" s="2353"/>
      <c r="AL6" s="2354"/>
      <c r="AM6" s="1441"/>
      <c r="AO6" s="556"/>
      <c r="AP6" s="556" t="str">
        <f>IF(T6="","",T6)</f>
        <v/>
      </c>
      <c r="AQ6" s="556"/>
      <c r="AR6" s="556"/>
      <c r="AS6" s="1211">
        <v>0</v>
      </c>
    </row>
    <row customHeight="1" ht="21" hidden="1">
      <c r="A7" s="1419"/>
      <c r="B7" s="1419"/>
      <c r="C7" s="1419"/>
      <c r="D7" s="1419"/>
      <c r="E7" s="2315"/>
      <c r="F7" s="2315"/>
      <c r="G7" s="2315"/>
      <c r="H7" s="2315"/>
      <c r="I7" s="2342"/>
      <c r="J7" s="2312">
        <f>I6&amp;".1"</f>
      </c>
      <c r="K7" s="1419"/>
      <c r="L7" s="1420" t="s">
        <v>538</v>
      </c>
      <c r="M7" s="593"/>
      <c r="N7" s="1422"/>
      <c r="P7" s="2313"/>
      <c r="Q7" s="2313">
        <v>1</v>
      </c>
      <c r="R7" s="413"/>
      <c r="S7" s="1392">
        <f>$J7</f>
      </c>
      <c r="T7" s="342" t="s">
        <v>539</v>
      </c>
      <c r="U7" s="356"/>
      <c r="V7" s="2301"/>
      <c r="W7" s="2302"/>
      <c r="X7" s="2302"/>
      <c r="Y7" s="2302"/>
      <c r="Z7" s="2302"/>
      <c r="AA7" s="2302"/>
      <c r="AB7" s="2302"/>
      <c r="AC7" s="2303"/>
      <c r="AD7" s="2301"/>
      <c r="AE7" s="2302"/>
      <c r="AF7" s="2302"/>
      <c r="AG7" s="2302"/>
      <c r="AH7" s="2302"/>
      <c r="AI7" s="2302"/>
      <c r="AJ7" s="2302"/>
      <c r="AK7" s="2302"/>
      <c r="AL7" s="2303"/>
      <c r="AM7" s="1314" t="s">
        <v>540</v>
      </c>
      <c r="AO7" s="556"/>
      <c r="AP7" s="556" t="str">
        <f>IF(T7="","",T7)</f>
        <v>Группа потребителей</v>
      </c>
      <c r="AQ7" s="556"/>
      <c r="AR7" s="556"/>
      <c r="AS7" s="1211">
        <v>0</v>
      </c>
    </row>
    <row customHeight="1" ht="21" hidden="1">
      <c r="A8" s="1419"/>
      <c r="B8" s="1419"/>
      <c r="C8" s="1419"/>
      <c r="D8" s="1419"/>
      <c r="E8" s="2315"/>
      <c r="F8" s="2315"/>
      <c r="G8" s="2315"/>
      <c r="H8" s="2315"/>
      <c r="I8" s="2342"/>
      <c r="J8" s="2342"/>
      <c r="K8" s="2312">
        <f>J7&amp;".1"</f>
      </c>
      <c r="L8" s="1420" t="s">
        <v>541</v>
      </c>
      <c r="M8" s="593"/>
      <c r="N8" s="1422"/>
      <c r="O8" s="1422"/>
      <c r="P8" s="2313"/>
      <c r="Q8" s="2313"/>
      <c r="R8" s="413">
        <v>1</v>
      </c>
      <c r="S8" s="1392">
        <f>$K8</f>
      </c>
      <c r="T8" s="1403"/>
      <c r="U8" s="356"/>
      <c r="V8" s="807"/>
      <c r="W8" s="381"/>
      <c r="X8" s="807"/>
      <c r="Y8" s="1313"/>
      <c r="Z8" s="2321"/>
      <c r="AA8" s="2163" t="s">
        <v>65</v>
      </c>
      <c r="AB8" s="2321"/>
      <c r="AC8" s="2163" t="s">
        <v>65</v>
      </c>
      <c r="AD8" s="807"/>
      <c r="AE8" s="381"/>
      <c r="AF8" s="807"/>
      <c r="AG8" s="1313"/>
      <c r="AH8" s="2321"/>
      <c r="AI8" s="2163" t="s">
        <v>65</v>
      </c>
      <c r="AJ8" s="2321"/>
      <c r="AK8" s="2163" t="s">
        <v>65</v>
      </c>
      <c r="AL8" s="381"/>
      <c r="AM8" s="2309" t="s">
        <v>542</v>
      </c>
      <c r="AN8" s="567">
        <f>STRCHECKDATE(V9:AL9)</f>
      </c>
      <c r="AO8" s="556"/>
      <c r="AP8" s="556" t="str">
        <f>IF(T8="","",T8)</f>
        <v/>
      </c>
      <c r="AQ8" s="556"/>
      <c r="AR8" s="556"/>
      <c r="AS8" s="1211">
        <v>0</v>
      </c>
    </row>
    <row customHeight="1" ht="14.25" hidden="1">
      <c r="A9" s="1419"/>
      <c r="B9" s="1419"/>
      <c r="C9" s="1419"/>
      <c r="D9" s="1419"/>
      <c r="E9" s="2315"/>
      <c r="F9" s="2315"/>
      <c r="G9" s="2315"/>
      <c r="H9" s="2315"/>
      <c r="I9" s="2342"/>
      <c r="J9" s="2342"/>
      <c r="K9" s="2312"/>
      <c r="L9" s="1420"/>
      <c r="M9" s="593"/>
      <c r="N9" s="1422"/>
      <c r="O9" s="1422"/>
      <c r="P9" s="2313"/>
      <c r="Q9" s="2313"/>
      <c r="R9" s="413"/>
      <c r="S9" s="1398"/>
      <c r="T9" s="356"/>
      <c r="U9" s="356"/>
      <c r="V9" s="381"/>
      <c r="W9" s="381"/>
      <c r="X9" s="381"/>
      <c r="Y9" s="384" t="str">
        <f>Z8&amp;"-"&amp;AB8</f>
        <v>-</v>
      </c>
      <c r="Z9" s="2322"/>
      <c r="AA9" s="2163"/>
      <c r="AB9" s="2322"/>
      <c r="AC9" s="2163"/>
      <c r="AD9" s="381"/>
      <c r="AE9" s="381"/>
      <c r="AF9" s="381"/>
      <c r="AG9" s="384" t="str">
        <f>AH8&amp;"-"&amp;AJ8</f>
        <v>-</v>
      </c>
      <c r="AH9" s="2322"/>
      <c r="AI9" s="2163"/>
      <c r="AJ9" s="2322"/>
      <c r="AK9" s="2163"/>
      <c r="AL9" s="381"/>
      <c r="AM9" s="2310"/>
      <c r="AO9" s="556"/>
      <c r="AP9" s="556" t="str">
        <f>IF(T9="","",T9)</f>
        <v/>
      </c>
      <c r="AQ9" s="556"/>
      <c r="AR9" s="556"/>
      <c r="AS9" s="1211">
        <v>0</v>
      </c>
    </row>
    <row customHeight="1" ht="15" hidden="1">
      <c r="A10" s="1419"/>
      <c r="B10" s="1419"/>
      <c r="C10" s="1419"/>
      <c r="D10" s="1419"/>
      <c r="E10" s="2315"/>
      <c r="F10" s="2315"/>
      <c r="G10" s="2315"/>
      <c r="H10" s="2315"/>
      <c r="I10" s="2342"/>
      <c r="J10" s="2312"/>
      <c r="K10" s="1419"/>
      <c r="L10" s="1420"/>
      <c r="M10" s="593"/>
      <c r="N10" s="1422"/>
      <c r="P10" s="2313"/>
      <c r="Q10" s="2313"/>
      <c r="R10" s="412"/>
      <c r="S10" s="1334"/>
      <c r="T10" s="343" t="s">
        <v>543</v>
      </c>
      <c r="U10" s="423"/>
      <c r="V10" s="423"/>
      <c r="W10" s="423"/>
      <c r="X10" s="423"/>
      <c r="Y10" s="423"/>
      <c r="Z10" s="423"/>
      <c r="AA10" s="423"/>
      <c r="AB10" s="423"/>
      <c r="AC10" s="423"/>
      <c r="AD10" s="423"/>
      <c r="AE10" s="423"/>
      <c r="AF10" s="423"/>
      <c r="AG10" s="423"/>
      <c r="AH10" s="423"/>
      <c r="AI10" s="423"/>
      <c r="AJ10" s="423"/>
      <c r="AK10" s="423"/>
      <c r="AL10" s="380"/>
      <c r="AM10" s="2311"/>
      <c r="AO10" s="556"/>
      <c r="AP10" s="556" t="str">
        <f>IF(T10="","",T10)</f>
        <v>Добавить вид теплоносителя (параметры теплоносителя)</v>
      </c>
      <c r="AQ10" s="556"/>
      <c r="AR10" s="556"/>
      <c r="AS10" s="1211">
        <v>0</v>
      </c>
    </row>
    <row customHeight="1" ht="11.25" hidden="1">
      <c r="A11" s="1419"/>
      <c r="B11" s="1419"/>
      <c r="C11" s="1419"/>
      <c r="D11" s="1419"/>
      <c r="E11" s="2315"/>
      <c r="F11" s="2315"/>
      <c r="G11" s="2315"/>
      <c r="H11" s="2315"/>
      <c r="I11" s="2312"/>
      <c r="J11" s="1419"/>
      <c r="K11" s="1419"/>
      <c r="L11" s="1420"/>
      <c r="M11" s="593"/>
      <c r="P11" s="2313"/>
      <c r="Q11" s="1387"/>
      <c r="R11" s="412"/>
      <c r="S11" s="1334"/>
      <c r="T11" s="421" t="s">
        <v>544</v>
      </c>
      <c r="U11" s="423"/>
      <c r="V11" s="423"/>
      <c r="W11" s="423"/>
      <c r="X11" s="423"/>
      <c r="Y11" s="423"/>
      <c r="Z11" s="423"/>
      <c r="AA11" s="423"/>
      <c r="AB11" s="423"/>
      <c r="AC11" s="422"/>
      <c r="AD11" s="423"/>
      <c r="AE11" s="423"/>
      <c r="AF11" s="423"/>
      <c r="AG11" s="423"/>
      <c r="AH11" s="423"/>
      <c r="AI11" s="423"/>
      <c r="AJ11" s="423"/>
      <c r="AK11" s="422"/>
      <c r="AL11" s="423"/>
      <c r="AM11" s="359"/>
      <c r="AO11" s="556"/>
      <c r="AP11" s="556" t="str">
        <f>IF(T11="","",T11)</f>
        <v>Добавить группу потребителей</v>
      </c>
      <c r="AQ11" s="556"/>
      <c r="AR11" s="556"/>
      <c r="AS11" s="1211">
        <v>0</v>
      </c>
    </row>
    <row customHeight="1" ht="14.25" hidden="1">
      <c r="A12" s="1419"/>
      <c r="B12" s="1419"/>
      <c r="C12" s="1419"/>
      <c r="D12" s="1419"/>
      <c r="E12" s="2315"/>
      <c r="F12" s="2315"/>
      <c r="G12" s="2315"/>
      <c r="H12" s="2314"/>
      <c r="I12" s="1419"/>
      <c r="J12" s="1419"/>
      <c r="K12" s="1419"/>
      <c r="L12" s="1420"/>
      <c r="M12" s="1421"/>
      <c r="N12" s="1421"/>
      <c r="O12" s="593"/>
      <c r="P12" s="416"/>
      <c r="Q12" s="431"/>
      <c r="R12" s="411"/>
      <c r="S12" s="1442"/>
      <c r="T12" s="1443"/>
      <c r="U12" s="1444"/>
      <c r="V12" s="1444"/>
      <c r="W12" s="1444"/>
      <c r="X12" s="1444"/>
      <c r="Y12" s="1444"/>
      <c r="Z12" s="1444"/>
      <c r="AA12" s="1444"/>
      <c r="AB12" s="1444"/>
      <c r="AC12" s="1444"/>
      <c r="AD12" s="1444"/>
      <c r="AE12" s="1444"/>
      <c r="AF12" s="1444"/>
      <c r="AG12" s="1444"/>
      <c r="AH12" s="1444"/>
      <c r="AI12" s="1444"/>
      <c r="AJ12" s="1444"/>
      <c r="AK12" s="1444"/>
      <c r="AL12" s="1444"/>
      <c r="AM12" s="1445"/>
      <c r="AO12" s="556"/>
      <c r="AP12" s="556" t="str">
        <f>IF(T12="","",T12)</f>
        <v/>
      </c>
      <c r="AQ12" s="556"/>
      <c r="AR12" s="556"/>
      <c r="AS12" s="1211">
        <v>0</v>
      </c>
    </row>
    <row s="2851" customFormat="1" customHeight="1" ht="14.25" hidden="1">
      <c r="A13" s="1370"/>
      <c r="B13" s="1370"/>
      <c r="C13" s="1370"/>
      <c r="D13" s="1370"/>
      <c r="E13" s="2315"/>
      <c r="F13" s="2315"/>
      <c r="G13" s="2314"/>
      <c r="H13" s="1370"/>
      <c r="I13" s="1370"/>
      <c r="J13" s="1370"/>
      <c r="K13" s="1370"/>
      <c r="L13" s="1395"/>
      <c r="M13" s="1371"/>
      <c r="N13" s="1371"/>
      <c r="P13" s="1372"/>
      <c r="Q13" s="1373"/>
      <c r="R13" s="1372"/>
      <c r="S13" s="1374"/>
      <c r="T13" s="1375" t="s">
        <v>546</v>
      </c>
      <c r="U13" s="1376"/>
      <c r="V13" s="1376"/>
      <c r="W13" s="1376"/>
      <c r="X13" s="1376"/>
      <c r="Y13" s="1376"/>
      <c r="Z13" s="1376"/>
      <c r="AA13" s="1376"/>
      <c r="AB13" s="1376"/>
      <c r="AC13" s="1376"/>
      <c r="AD13" s="1376"/>
      <c r="AE13" s="1376"/>
      <c r="AF13" s="1376"/>
      <c r="AG13" s="1376"/>
      <c r="AH13" s="1376"/>
      <c r="AI13" s="1376"/>
      <c r="AJ13" s="1376"/>
      <c r="AK13" s="1376"/>
      <c r="AL13" s="1376"/>
      <c r="AM13" s="1376"/>
      <c r="AO13" s="845"/>
      <c r="AP13" s="845" t="str">
        <f>IF(T13="","",T13)</f>
        <v>Добавить источник для дифференциации</v>
      </c>
      <c r="AQ13" s="845"/>
      <c r="AR13" s="845"/>
      <c r="AS13" s="574">
        <v>0</v>
      </c>
    </row>
    <row s="2851" customFormat="1" customHeight="1" ht="14.25" hidden="1">
      <c r="A14" s="1370"/>
      <c r="B14" s="1370"/>
      <c r="C14" s="1370"/>
      <c r="D14" s="1370"/>
      <c r="E14" s="2315"/>
      <c r="F14" s="2314"/>
      <c r="G14" s="1370"/>
      <c r="H14" s="1370"/>
      <c r="I14" s="1370"/>
      <c r="J14" s="1370"/>
      <c r="K14" s="1370"/>
      <c r="L14" s="1395"/>
      <c r="M14" s="1377"/>
      <c r="N14" s="1377"/>
      <c r="P14" s="1372"/>
      <c r="Q14" s="1373"/>
      <c r="R14" s="1372"/>
      <c r="S14" s="1378"/>
      <c r="T14" s="1379" t="s">
        <v>302</v>
      </c>
      <c r="U14" s="1380"/>
      <c r="V14" s="1380"/>
      <c r="W14" s="1380"/>
      <c r="X14" s="1380"/>
      <c r="Y14" s="1380"/>
      <c r="Z14" s="1380"/>
      <c r="AA14" s="1380"/>
      <c r="AB14" s="1380"/>
      <c r="AC14" s="1380"/>
      <c r="AD14" s="1380"/>
      <c r="AE14" s="1380"/>
      <c r="AF14" s="1380"/>
      <c r="AG14" s="1380"/>
      <c r="AH14" s="1380"/>
      <c r="AI14" s="1380"/>
      <c r="AJ14" s="1380"/>
      <c r="AK14" s="1380"/>
      <c r="AL14" s="1380"/>
      <c r="AM14" s="1380"/>
      <c r="AO14" s="845"/>
      <c r="AP14" s="845" t="str">
        <f>IF(T14="","",T14)</f>
        <v>Добавить централизованную систему для дифференциации</v>
      </c>
      <c r="AQ14" s="845"/>
      <c r="AR14" s="845"/>
      <c r="AS14" s="574">
        <v>0</v>
      </c>
    </row>
    <row s="2851" customFormat="1" customHeight="1" ht="14.25" hidden="1">
      <c r="A15" s="1370"/>
      <c r="B15" s="1370"/>
      <c r="C15" s="1370"/>
      <c r="D15" s="1370"/>
      <c r="E15" s="2314"/>
      <c r="F15" s="1370"/>
      <c r="G15" s="1370"/>
      <c r="H15" s="1370"/>
      <c r="I15" s="1370"/>
      <c r="J15" s="1370"/>
      <c r="K15" s="1370"/>
      <c r="L15" s="1395"/>
      <c r="M15" s="1377"/>
      <c r="N15" s="1377"/>
      <c r="P15" s="1372"/>
      <c r="Q15" s="1373"/>
      <c r="R15" s="1372"/>
      <c r="S15" s="1378"/>
      <c r="T15" s="1381" t="s">
        <v>359</v>
      </c>
      <c r="U15" s="1380"/>
      <c r="V15" s="1380"/>
      <c r="W15" s="1380"/>
      <c r="X15" s="1380"/>
      <c r="Y15" s="1380"/>
      <c r="Z15" s="1380"/>
      <c r="AA15" s="1380"/>
      <c r="AB15" s="1380"/>
      <c r="AC15" s="1380"/>
      <c r="AD15" s="1380"/>
      <c r="AE15" s="1380"/>
      <c r="AF15" s="1380"/>
      <c r="AG15" s="1380"/>
      <c r="AH15" s="1380"/>
      <c r="AI15" s="1380"/>
      <c r="AJ15" s="1380"/>
      <c r="AK15" s="1380"/>
      <c r="AL15" s="1380"/>
      <c r="AM15" s="1380"/>
      <c r="AO15" s="845"/>
      <c r="AP15" s="845" t="str">
        <f>IF(T15="","",T15)</f>
        <v>Добавить территорию для дифференциации</v>
      </c>
      <c r="AQ15" s="845"/>
      <c r="AR15" s="845"/>
      <c r="AS15" s="574">
        <v>0</v>
      </c>
    </row>
    <row customHeight="1" ht="14.25" hidden="1">
      <c r="AC16" s="383"/>
      <c r="AK16" s="383"/>
      <c r="AS16" s="1211">
        <v>0</v>
      </c>
    </row>
    <row customHeight="1" ht="14.25" hidden="1">
      <c r="AD17" s="1416"/>
      <c r="AE17" s="1416"/>
      <c r="AF17" s="1416"/>
      <c r="AG17" s="1417"/>
      <c r="AH17" s="2323"/>
      <c r="AI17" s="2324" t="s">
        <v>65</v>
      </c>
      <c r="AJ17" s="2323"/>
      <c r="AK17" s="2324" t="s">
        <v>65</v>
      </c>
      <c r="AS17" s="1211">
        <v>0</v>
      </c>
    </row>
    <row customHeight="1" ht="14.25" hidden="1">
      <c r="AD18" s="1416"/>
      <c r="AE18" s="1416"/>
      <c r="AF18" s="1416"/>
      <c r="AG18" s="384" t="str">
        <f>AH17&amp;"-"&amp;AJ17</f>
        <v>-</v>
      </c>
      <c r="AH18" s="2324"/>
      <c r="AI18" s="2324"/>
      <c r="AJ18" s="2324"/>
      <c r="AK18" s="2324"/>
      <c r="AS18" s="1211">
        <v>0</v>
      </c>
    </row>
    <row customHeight="1" ht="14.25" hidden="1">
      <c r="AK19" s="383"/>
      <c r="AS19" s="1211">
        <v>0</v>
      </c>
    </row>
    <row s="2850" customFormat="1" customHeight="1" ht="22.5" hidden="1">
      <c r="L20" s="1385"/>
      <c r="M20" s="1418"/>
      <c r="N20" s="1418"/>
      <c r="O20" s="1423" t="s">
        <v>547</v>
      </c>
      <c r="P20" s="1418"/>
      <c r="Q20" s="1427"/>
      <c r="R20" s="1427"/>
      <c r="S20" s="785"/>
      <c r="Z20" s="1423"/>
      <c r="AB20" s="1423"/>
      <c r="AC20" s="1422"/>
      <c r="AH20" s="1423"/>
      <c r="AJ20" s="1423"/>
      <c r="AK20" s="1422"/>
      <c r="AN20" s="567"/>
      <c r="AO20" s="567"/>
      <c r="AP20" s="567"/>
      <c r="AQ20" s="567"/>
      <c r="AR20" s="567"/>
      <c r="AS20" s="1216">
        <v>0</v>
      </c>
    </row>
    <row s="2850" customFormat="1" customHeight="1" ht="14.25" hidden="1">
      <c r="L21" s="1385"/>
      <c r="M21" s="1418"/>
      <c r="N21" s="1418"/>
      <c r="O21" s="1418"/>
      <c r="P21" s="1418"/>
      <c r="Q21" s="1427"/>
      <c r="R21" s="1427"/>
      <c r="S21" s="785"/>
      <c r="AC21" s="1422"/>
      <c r="AK21" s="1422"/>
      <c r="AN21" s="567"/>
      <c r="AO21" s="567"/>
      <c r="AP21" s="567"/>
      <c r="AQ21" s="567"/>
      <c r="AR21" s="567"/>
      <c r="AS21" s="1216">
        <v>0</v>
      </c>
    </row>
    <row s="2850" customFormat="1" customHeight="1" ht="14.25" hidden="1">
      <c r="L22" s="1385"/>
      <c r="M22" s="1418"/>
      <c r="N22" s="1418"/>
      <c r="O22" s="1420" t="s">
        <v>548</v>
      </c>
      <c r="P22" s="1418"/>
      <c r="Q22" s="1427"/>
      <c r="R22" s="1427"/>
      <c r="S22" s="785"/>
      <c r="T22" s="1216" t="s">
        <v>549</v>
      </c>
      <c r="AA22" s="242" t="s">
        <v>550</v>
      </c>
      <c r="AC22" s="242" t="s">
        <v>551</v>
      </c>
      <c r="AD22" s="1216" t="s">
        <v>549</v>
      </c>
      <c r="AI22" s="242" t="s">
        <v>552</v>
      </c>
      <c r="AK22" s="242" t="s">
        <v>551</v>
      </c>
      <c r="AN22" s="567"/>
      <c r="AO22" s="567"/>
      <c r="AP22" s="567"/>
      <c r="AQ22" s="567"/>
      <c r="AR22" s="567"/>
      <c r="AS22" s="1216">
        <v>0</v>
      </c>
    </row>
    <row customHeight="1" ht="14.25" hidden="1">
      <c r="O23" s="1420"/>
      <c r="AS23" s="1211">
        <v>0</v>
      </c>
    </row>
    <row customHeight="1" ht="14.25" hidden="1">
      <c r="O24" s="1420"/>
      <c r="AS24" s="1211">
        <v>0</v>
      </c>
    </row>
    <row customHeight="1" ht="14.699999999999998">
      <c r="Q25" s="432"/>
      <c r="R25" s="432"/>
      <c r="S25" s="1331"/>
      <c r="T25" s="419"/>
      <c r="U25" s="419"/>
      <c r="V25" s="565"/>
      <c r="W25" s="565"/>
      <c r="X25" s="565"/>
      <c r="Y25" s="565"/>
      <c r="Z25" s="565"/>
      <c r="AA25" s="565"/>
      <c r="AB25" s="565"/>
      <c r="AC25" s="565"/>
      <c r="AD25" s="565"/>
      <c r="AE25" s="565"/>
      <c r="AF25" s="565"/>
      <c r="AG25" s="565"/>
      <c r="AH25" s="565"/>
      <c r="AI25" s="565"/>
      <c r="AJ25" s="565"/>
      <c r="AK25" s="565"/>
      <c r="AS25" s="1211">
        <v>14</v>
      </c>
    </row>
    <row customHeight="1" ht="53.54999999999999">
      <c r="Q26" s="432"/>
      <c r="R26" s="432"/>
      <c r="S26" s="230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04"/>
      <c r="U26" s="2304"/>
      <c r="V26" s="2304"/>
      <c r="W26" s="2304"/>
      <c r="X26" s="2304"/>
      <c r="Y26" s="2304"/>
      <c r="Z26" s="2304"/>
      <c r="AA26" s="2304"/>
      <c r="AB26" s="2304"/>
      <c r="AC26" s="2304"/>
      <c r="AD26" s="2304"/>
      <c r="AE26" s="2304"/>
      <c r="AF26" s="2304"/>
      <c r="AG26" s="2304"/>
      <c r="AH26" s="2304"/>
      <c r="AI26" s="2304"/>
      <c r="AJ26" s="2304"/>
      <c r="AK26" s="1299"/>
      <c r="AS26" s="1211">
        <v>51</v>
      </c>
    </row>
    <row customHeight="1" ht="14.699999999999998">
      <c r="Q27" s="432"/>
      <c r="R27" s="432"/>
      <c r="S27" s="2305" t="str">
        <f>IF(org=0,"Не определено",org)</f>
        <v>МУП ЖКХ "Родник"</v>
      </c>
      <c r="T27" s="2305"/>
      <c r="U27" s="2305"/>
      <c r="V27" s="2305"/>
      <c r="W27" s="2305"/>
      <c r="X27" s="2305"/>
      <c r="Y27" s="2305"/>
      <c r="Z27" s="2305"/>
      <c r="AA27" s="2305"/>
      <c r="AB27" s="2305"/>
      <c r="AC27" s="2305"/>
      <c r="AD27" s="2305"/>
      <c r="AE27" s="2305"/>
      <c r="AF27" s="2305"/>
      <c r="AG27" s="2305"/>
      <c r="AH27" s="2305"/>
      <c r="AI27" s="2305"/>
      <c r="AJ27" s="2305"/>
      <c r="AK27" s="1299"/>
      <c r="AS27" s="1211">
        <v>14</v>
      </c>
    </row>
    <row customHeight="1" ht="14.25">
      <c r="Q28" s="432"/>
      <c r="R28" s="432"/>
      <c r="S28" s="1331"/>
      <c r="T28" s="419"/>
      <c r="U28" s="419"/>
      <c r="V28" s="378"/>
      <c r="W28" s="378"/>
      <c r="X28" s="378"/>
      <c r="Y28" s="378"/>
      <c r="Z28" s="378"/>
      <c r="AA28" s="378"/>
      <c r="AB28" s="378"/>
      <c r="AC28" s="378"/>
      <c r="AD28" s="378"/>
      <c r="AE28" s="378"/>
      <c r="AF28" s="378"/>
      <c r="AG28" s="378"/>
      <c r="AH28" s="378"/>
      <c r="AI28" s="378"/>
      <c r="AJ28" s="378"/>
      <c r="AK28" s="378"/>
      <c r="AL28" s="565"/>
      <c r="AS28" s="1211">
        <v>0</v>
      </c>
    </row>
    <row s="2983" customFormat="1" customHeight="1" ht="25.5">
      <c r="A29" s="1424"/>
      <c r="B29" s="1424"/>
      <c r="C29" s="1424"/>
      <c r="D29" s="1424"/>
      <c r="E29" s="1424"/>
      <c r="F29" s="1424"/>
      <c r="G29" s="1424"/>
      <c r="H29" s="1424"/>
      <c r="I29" s="1424"/>
      <c r="J29" s="1424"/>
      <c r="K29" s="1424"/>
      <c r="L29" s="1425"/>
      <c r="M29" s="1424"/>
      <c r="N29" s="1424"/>
      <c r="O29" s="1424"/>
      <c r="S29" s="2306" t="s">
        <v>42</v>
      </c>
      <c r="T29" s="2306"/>
      <c r="U29" s="1428"/>
      <c r="V29" s="2307" t="str">
        <f>IF(TITLE_NAME_OR_PR_CHANGE="",IF(TITLE_NAME_OR_PR="","",TITLE_NAME_OR_PR),TITLE_NAME_OR_PR_CHANGE)</f>
        <v>Министерство по тарифам и ценам Курской области</v>
      </c>
      <c r="W29" s="2307"/>
      <c r="X29" s="2307"/>
      <c r="Y29" s="2307"/>
      <c r="Z29" s="2307"/>
      <c r="AA29" s="2307"/>
      <c r="AB29" s="2307"/>
      <c r="AC29" s="382"/>
      <c r="AD29" s="2307" t="str">
        <f>IF(TITLE_NAME_OR_PR_CHANGE="",IF(TITLE_NAME_OR_PR="","",TITLE_NAME_OR_PR),TITLE_NAME_OR_PR_CHANGE)</f>
        <v>Министерство по тарифам и ценам Курской области</v>
      </c>
      <c r="AE29" s="2307"/>
      <c r="AF29" s="2307"/>
      <c r="AG29" s="2307"/>
      <c r="AH29" s="2307"/>
      <c r="AI29" s="2307"/>
      <c r="AJ29" s="2307"/>
      <c r="AK29" s="382"/>
      <c r="AL29" s="382"/>
      <c r="AM29" s="336"/>
      <c r="AN29" s="424"/>
      <c r="AO29" s="424"/>
      <c r="AP29" s="424"/>
      <c r="AQ29" s="424"/>
      <c r="AR29" s="424"/>
      <c r="AS29" s="474">
        <v>0</v>
      </c>
    </row>
    <row s="2983" customFormat="1" customHeight="1" ht="18.75">
      <c r="A30" s="1424"/>
      <c r="B30" s="1424"/>
      <c r="C30" s="1424"/>
      <c r="D30" s="1424"/>
      <c r="E30" s="1424"/>
      <c r="F30" s="1424"/>
      <c r="G30" s="1424"/>
      <c r="H30" s="1424"/>
      <c r="I30" s="1424"/>
      <c r="J30" s="1424"/>
      <c r="K30" s="1424"/>
      <c r="L30" s="1425"/>
      <c r="M30" s="1424"/>
      <c r="N30" s="1424"/>
      <c r="O30" s="1424"/>
      <c r="S30" s="2306" t="s">
        <v>553</v>
      </c>
      <c r="T30" s="2306"/>
      <c r="U30" s="1428"/>
      <c r="V30" s="2320" t="str">
        <f>IF(TITLE_DATE_PR_CHANGE="",IF(TITLE_DATE_PR="","",TITLE_DATE_PR),TITLE_DATE_PR_CHANGE)</f>
        <v>45645</v>
      </c>
      <c r="W30" s="2320"/>
      <c r="X30" s="2320"/>
      <c r="Y30" s="2320"/>
      <c r="Z30" s="2320"/>
      <c r="AA30" s="2320"/>
      <c r="AB30" s="2320"/>
      <c r="AC30" s="382"/>
      <c r="AD30" s="2320" t="str">
        <f>IF(TITLE_DATE_PR_CHANGE="",IF(TITLE_DATE_PR="","",TITLE_DATE_PR),TITLE_DATE_PR_CHANGE)</f>
        <v>45645</v>
      </c>
      <c r="AE30" s="2320"/>
      <c r="AF30" s="2320"/>
      <c r="AG30" s="2320"/>
      <c r="AH30" s="2320"/>
      <c r="AI30" s="2320"/>
      <c r="AJ30" s="2320"/>
      <c r="AK30" s="382"/>
      <c r="AL30" s="382"/>
      <c r="AM30" s="336"/>
      <c r="AN30" s="424"/>
      <c r="AO30" s="424"/>
      <c r="AP30" s="424"/>
      <c r="AQ30" s="424"/>
      <c r="AR30" s="424"/>
      <c r="AS30" s="474">
        <v>0</v>
      </c>
    </row>
    <row s="2983" customFormat="1" customHeight="1" ht="18.75">
      <c r="A31" s="1424"/>
      <c r="B31" s="1424"/>
      <c r="C31" s="1424"/>
      <c r="D31" s="1424"/>
      <c r="E31" s="1424"/>
      <c r="F31" s="1424"/>
      <c r="G31" s="1424"/>
      <c r="H31" s="1424"/>
      <c r="I31" s="1424"/>
      <c r="J31" s="1424"/>
      <c r="K31" s="1424"/>
      <c r="L31" s="1425"/>
      <c r="M31" s="1424"/>
      <c r="N31" s="1424"/>
      <c r="O31" s="1424"/>
      <c r="S31" s="2306" t="s">
        <v>554</v>
      </c>
      <c r="T31" s="2306"/>
      <c r="U31" s="1428"/>
      <c r="V31" s="2307" t="str">
        <f>IF(TITLE_NUMBER_PR_CHANGE="",IF(TITLE_NUMBER_PR="","",TITLE_NUMBER_PR),TITLE_NUMBER_PR_CHANGE)</f>
        <v>208-вод</v>
      </c>
      <c r="W31" s="2307"/>
      <c r="X31" s="2307"/>
      <c r="Y31" s="2307"/>
      <c r="Z31" s="2307"/>
      <c r="AA31" s="2307"/>
      <c r="AB31" s="2307"/>
      <c r="AC31" s="382"/>
      <c r="AD31" s="2307" t="str">
        <f>IF(TITLE_NUMBER_PR_CHANGE="",IF(TITLE_NUMBER_PR="","",TITLE_NUMBER_PR),TITLE_NUMBER_PR_CHANGE)</f>
        <v>208-вод</v>
      </c>
      <c r="AE31" s="2307"/>
      <c r="AF31" s="2307"/>
      <c r="AG31" s="2307"/>
      <c r="AH31" s="2307"/>
      <c r="AI31" s="2307"/>
      <c r="AJ31" s="2307"/>
      <c r="AK31" s="382"/>
      <c r="AL31" s="382"/>
      <c r="AM31" s="336"/>
      <c r="AN31" s="424"/>
      <c r="AO31" s="424"/>
      <c r="AP31" s="424"/>
      <c r="AQ31" s="424"/>
      <c r="AR31" s="424"/>
      <c r="AS31" s="474">
        <v>0</v>
      </c>
    </row>
    <row s="2983" customFormat="1" customHeight="1" ht="18.75">
      <c r="A32" s="1424"/>
      <c r="B32" s="1424"/>
      <c r="C32" s="1424"/>
      <c r="D32" s="1424"/>
      <c r="E32" s="1424"/>
      <c r="F32" s="1424"/>
      <c r="G32" s="1424"/>
      <c r="H32" s="1424"/>
      <c r="I32" s="1424"/>
      <c r="J32" s="1424"/>
      <c r="K32" s="1424"/>
      <c r="L32" s="1425"/>
      <c r="M32" s="1424"/>
      <c r="N32" s="1424"/>
      <c r="O32" s="1424"/>
      <c r="S32" s="2306" t="s">
        <v>44</v>
      </c>
      <c r="T32" s="2306"/>
      <c r="U32" s="1428"/>
      <c r="V32" s="2307" t="str">
        <f>IF(TITLE_IST_PUB_CHANGE="",IF(TITLE_IST_PUB="","",TITLE_IST_PUB),TITLE_IST_PUB_CHANGE)</f>
        <v>Газета "Курская правда" №155 от 26.12.2024 г.</v>
      </c>
      <c r="W32" s="2307"/>
      <c r="X32" s="2307"/>
      <c r="Y32" s="2307"/>
      <c r="Z32" s="2307"/>
      <c r="AA32" s="2307"/>
      <c r="AB32" s="2307"/>
      <c r="AC32" s="382"/>
      <c r="AD32" s="2307" t="str">
        <f>IF(TITLE_IST_PUB_CHANGE="",IF(TITLE_IST_PUB="","",TITLE_IST_PUB),TITLE_IST_PUB_CHANGE)</f>
        <v>Газета "Курская правда" №155 от 26.12.2024 г.</v>
      </c>
      <c r="AE32" s="2307"/>
      <c r="AF32" s="2307"/>
      <c r="AG32" s="2307"/>
      <c r="AH32" s="2307"/>
      <c r="AI32" s="2307"/>
      <c r="AJ32" s="2307"/>
      <c r="AK32" s="382"/>
      <c r="AL32" s="382"/>
      <c r="AM32" s="336"/>
      <c r="AN32" s="424"/>
      <c r="AO32" s="424"/>
      <c r="AP32" s="424"/>
      <c r="AQ32" s="424"/>
      <c r="AR32" s="424"/>
      <c r="AS32" s="474">
        <v>0</v>
      </c>
    </row>
    <row customHeight="1" ht="14.25" hidden="1">
      <c r="Q33" s="432"/>
      <c r="R33" s="432"/>
      <c r="S33" s="1331"/>
      <c r="T33" s="419"/>
      <c r="U33" s="419"/>
      <c r="V33" s="378"/>
      <c r="W33" s="378"/>
      <c r="X33" s="378"/>
      <c r="Y33" s="378"/>
      <c r="Z33" s="378"/>
      <c r="AA33" s="378"/>
      <c r="AB33" s="378"/>
      <c r="AC33" s="378"/>
      <c r="AD33" s="378"/>
      <c r="AE33" s="378"/>
      <c r="AF33" s="378"/>
      <c r="AG33" s="378"/>
      <c r="AH33" s="378"/>
      <c r="AI33" s="378"/>
      <c r="AJ33" s="378"/>
      <c r="AK33" s="378"/>
      <c r="AL33" s="565"/>
      <c r="AS33" s="1211">
        <v>0</v>
      </c>
    </row>
    <row s="2983" customFormat="1" customHeight="1" ht="18.75" hidden="1">
      <c r="A34" s="1424"/>
      <c r="B34" s="1424"/>
      <c r="C34" s="1424"/>
      <c r="D34" s="1424"/>
      <c r="E34" s="1424"/>
      <c r="F34" s="1424"/>
      <c r="G34" s="1424"/>
      <c r="H34" s="1424"/>
      <c r="I34" s="1424"/>
      <c r="J34" s="1424"/>
      <c r="K34" s="1424"/>
      <c r="L34" s="1425"/>
      <c r="M34" s="1424"/>
      <c r="N34" s="1424"/>
      <c r="O34" s="1424"/>
      <c r="S34" s="2306" t="s">
        <v>555</v>
      </c>
      <c r="T34" s="2306"/>
      <c r="U34" s="1428"/>
      <c r="V34" s="2320" t="str">
        <f>IF(TITLE_DATE_PR_CHANGE="",IF(TITLE_DATE_PR="","",TITLE_DATE_PR),TITLE_DATE_PR_CHANGE)</f>
        <v>45645</v>
      </c>
      <c r="W34" s="2320"/>
      <c r="X34" s="2320"/>
      <c r="Y34" s="2320"/>
      <c r="Z34" s="2320"/>
      <c r="AA34" s="2320"/>
      <c r="AB34" s="2320"/>
      <c r="AC34" s="382"/>
      <c r="AD34" s="2320" t="str">
        <f>IF(TITLE_DATE_PR_CHANGE="",IF(TITLE_DATE_PR="","",TITLE_DATE_PR),TITLE_DATE_PR_CHANGE)</f>
        <v>45645</v>
      </c>
      <c r="AE34" s="2320"/>
      <c r="AF34" s="2320"/>
      <c r="AG34" s="2320"/>
      <c r="AH34" s="2320"/>
      <c r="AI34" s="2320"/>
      <c r="AJ34" s="2320"/>
      <c r="AK34" s="382"/>
      <c r="AL34" s="382"/>
      <c r="AM34" s="336"/>
      <c r="AN34" s="424"/>
      <c r="AO34" s="424"/>
      <c r="AP34" s="424"/>
      <c r="AQ34" s="424"/>
      <c r="AR34" s="424"/>
      <c r="AS34" s="474">
        <v>0</v>
      </c>
    </row>
    <row s="2983" customFormat="1" customHeight="1" ht="25.5" hidden="1">
      <c r="A35" s="1424"/>
      <c r="B35" s="1424"/>
      <c r="C35" s="1424"/>
      <c r="D35" s="1424"/>
      <c r="E35" s="1424"/>
      <c r="F35" s="1424"/>
      <c r="G35" s="1424"/>
      <c r="H35" s="1424"/>
      <c r="I35" s="1424"/>
      <c r="J35" s="1424"/>
      <c r="K35" s="1424"/>
      <c r="L35" s="1425"/>
      <c r="M35" s="1424"/>
      <c r="N35" s="1424"/>
      <c r="O35" s="1424"/>
      <c r="S35" s="2306" t="s">
        <v>556</v>
      </c>
      <c r="T35" s="2306"/>
      <c r="U35" s="1428"/>
      <c r="V35" s="2307" t="str">
        <f>IF(TITLE_NUMBER_PR_CHANGE="",IF(TITLE_NUMBER_PR="","",TITLE_NUMBER_PR),TITLE_NUMBER_PR_CHANGE)</f>
        <v>208-вод</v>
      </c>
      <c r="W35" s="2307"/>
      <c r="X35" s="2307"/>
      <c r="Y35" s="2307"/>
      <c r="Z35" s="2307"/>
      <c r="AA35" s="2307"/>
      <c r="AB35" s="2307"/>
      <c r="AC35" s="382"/>
      <c r="AD35" s="2307" t="str">
        <f>IF(TITLE_NUMBER_PR_CHANGE="",IF(TITLE_NUMBER_PR="","",TITLE_NUMBER_PR),TITLE_NUMBER_PR_CHANGE)</f>
        <v>208-вод</v>
      </c>
      <c r="AE35" s="2307"/>
      <c r="AF35" s="2307"/>
      <c r="AG35" s="2307"/>
      <c r="AH35" s="2307"/>
      <c r="AI35" s="2307"/>
      <c r="AJ35" s="2307"/>
      <c r="AK35" s="382"/>
      <c r="AL35" s="382"/>
      <c r="AM35" s="336"/>
      <c r="AN35" s="424"/>
      <c r="AO35" s="424"/>
      <c r="AP35" s="424"/>
      <c r="AQ35" s="424"/>
      <c r="AR35" s="424"/>
      <c r="AS35" s="474">
        <v>0</v>
      </c>
    </row>
    <row s="2983" customFormat="1" customHeight="1" ht="0">
      <c r="A36" s="1424"/>
      <c r="B36" s="1424"/>
      <c r="C36" s="1424"/>
      <c r="D36" s="1424"/>
      <c r="E36" s="1424"/>
      <c r="F36" s="1424"/>
      <c r="G36" s="1424"/>
      <c r="H36" s="1424"/>
      <c r="I36" s="1424"/>
      <c r="J36" s="1424"/>
      <c r="K36" s="1424"/>
      <c r="L36" s="1425"/>
      <c r="M36" s="1424"/>
      <c r="N36" s="1424"/>
      <c r="O36" s="1424"/>
      <c r="S36" s="379"/>
      <c r="T36" s="379"/>
      <c r="U36" s="1396"/>
      <c r="V36" s="382"/>
      <c r="W36" s="382"/>
      <c r="X36" s="382"/>
      <c r="Y36" s="382"/>
      <c r="Z36" s="382"/>
      <c r="AA36" s="382"/>
      <c r="AB36" s="382"/>
      <c r="AC36" s="334" t="s">
        <v>557</v>
      </c>
      <c r="AD36" s="382"/>
      <c r="AE36" s="382"/>
      <c r="AF36" s="382"/>
      <c r="AG36" s="382"/>
      <c r="AH36" s="382"/>
      <c r="AI36" s="382"/>
      <c r="AJ36" s="382"/>
      <c r="AK36" s="334" t="s">
        <v>557</v>
      </c>
      <c r="AN36" s="424"/>
      <c r="AO36" s="424"/>
      <c r="AP36" s="424"/>
      <c r="AQ36" s="424"/>
      <c r="AR36" s="424"/>
      <c r="AS36" s="474">
        <v>0</v>
      </c>
    </row>
    <row customHeight="1" ht="14.699999999999998">
      <c r="Q37" s="432"/>
      <c r="R37" s="432"/>
      <c r="S37" s="1331"/>
      <c r="T37" s="419"/>
      <c r="U37" s="1300"/>
      <c r="V37" s="2308"/>
      <c r="W37" s="2308"/>
      <c r="X37" s="2308"/>
      <c r="Y37" s="2308"/>
      <c r="Z37" s="2308"/>
      <c r="AA37" s="2308"/>
      <c r="AB37" s="2308"/>
      <c r="AC37" s="2308"/>
      <c r="AD37" s="2308"/>
      <c r="AE37" s="2308"/>
      <c r="AF37" s="2308"/>
      <c r="AG37" s="2308"/>
      <c r="AH37" s="2308"/>
      <c r="AI37" s="2308"/>
      <c r="AJ37" s="2308"/>
      <c r="AK37" s="2308"/>
      <c r="AS37" s="1211">
        <v>14</v>
      </c>
    </row>
    <row customHeight="1" ht="14.699999999999998">
      <c r="Q38" s="432"/>
      <c r="R38" s="432"/>
      <c r="S38" s="2183" t="s">
        <v>432</v>
      </c>
      <c r="T38" s="2183"/>
      <c r="U38" s="2183"/>
      <c r="V38" s="2183"/>
      <c r="W38" s="2183"/>
      <c r="X38" s="2183"/>
      <c r="Y38" s="2183"/>
      <c r="Z38" s="2183"/>
      <c r="AA38" s="2183"/>
      <c r="AB38" s="2183"/>
      <c r="AC38" s="2183"/>
      <c r="AD38" s="2183"/>
      <c r="AE38" s="2183"/>
      <c r="AF38" s="2183"/>
      <c r="AG38" s="2183"/>
      <c r="AH38" s="2183"/>
      <c r="AI38" s="2183"/>
      <c r="AJ38" s="2183"/>
      <c r="AK38" s="2183"/>
      <c r="AL38" s="2183"/>
      <c r="AM38" s="2183" t="s">
        <v>433</v>
      </c>
      <c r="AS38" s="1211">
        <v>14</v>
      </c>
    </row>
    <row customHeight="1" ht="14.699999999999998">
      <c r="Q39" s="432"/>
      <c r="R39" s="432"/>
      <c r="S39" s="2329" t="s">
        <v>92</v>
      </c>
      <c r="T39" s="2265" t="s">
        <v>558</v>
      </c>
      <c r="U39" s="357"/>
      <c r="V39" s="2330" t="s">
        <v>559</v>
      </c>
      <c r="W39" s="2331"/>
      <c r="X39" s="2331"/>
      <c r="Y39" s="2331"/>
      <c r="Z39" s="2331"/>
      <c r="AA39" s="2331"/>
      <c r="AB39" s="2332"/>
      <c r="AC39" s="2333" t="s">
        <v>560</v>
      </c>
      <c r="AD39" s="2330" t="s">
        <v>559</v>
      </c>
      <c r="AE39" s="2331"/>
      <c r="AF39" s="2331"/>
      <c r="AG39" s="2331"/>
      <c r="AH39" s="2331"/>
      <c r="AI39" s="2331"/>
      <c r="AJ39" s="2332"/>
      <c r="AK39" s="2333" t="s">
        <v>561</v>
      </c>
      <c r="AL39" s="2336" t="s">
        <v>562</v>
      </c>
      <c r="AM39" s="2183"/>
      <c r="AS39" s="1211">
        <v>14</v>
      </c>
    </row>
    <row customHeight="1" ht="35.699999999999996">
      <c r="Q40" s="432"/>
      <c r="R40" s="432"/>
      <c r="S40" s="2329"/>
      <c r="T40" s="2265"/>
      <c r="U40" s="1087"/>
      <c r="V40" s="2316" t="s">
        <v>563</v>
      </c>
      <c r="W40" s="2339"/>
      <c r="X40" s="2318" t="s">
        <v>565</v>
      </c>
      <c r="Y40" s="2319"/>
      <c r="Z40" s="2318" t="s">
        <v>566</v>
      </c>
      <c r="AA40" s="2325"/>
      <c r="AB40" s="2319"/>
      <c r="AC40" s="2334"/>
      <c r="AD40" s="2316" t="s">
        <v>579</v>
      </c>
      <c r="AE40" s="2339"/>
      <c r="AF40" s="2318" t="s">
        <v>565</v>
      </c>
      <c r="AG40" s="2319"/>
      <c r="AH40" s="2318" t="s">
        <v>566</v>
      </c>
      <c r="AI40" s="2325"/>
      <c r="AJ40" s="2319"/>
      <c r="AK40" s="2334"/>
      <c r="AL40" s="2337"/>
      <c r="AM40" s="2183"/>
      <c r="AS40" s="1211">
        <v>34</v>
      </c>
    </row>
    <row customHeight="1" ht="35.699999999999996">
      <c r="A41" s="1426"/>
      <c r="B41" s="1426" t="s">
        <v>214</v>
      </c>
      <c r="C41" s="1426" t="s">
        <v>215</v>
      </c>
      <c r="D41" s="1426" t="s">
        <v>216</v>
      </c>
      <c r="E41" s="1420" t="s">
        <v>567</v>
      </c>
      <c r="F41" s="1420" t="s">
        <v>568</v>
      </c>
      <c r="G41" s="1420" t="s">
        <v>569</v>
      </c>
      <c r="H41" s="1420" t="s">
        <v>570</v>
      </c>
      <c r="I41" s="1420" t="s">
        <v>571</v>
      </c>
      <c r="J41" s="1420" t="s">
        <v>572</v>
      </c>
      <c r="K41" s="1420" t="s">
        <v>573</v>
      </c>
      <c r="L41" s="1420" t="s">
        <v>548</v>
      </c>
      <c r="Q41" s="432"/>
      <c r="R41" s="432"/>
      <c r="S41" s="2329"/>
      <c r="T41" s="2265"/>
      <c r="U41" s="358"/>
      <c r="V41" s="2317"/>
      <c r="W41" s="2340"/>
      <c r="X41" s="1278" t="s">
        <v>574</v>
      </c>
      <c r="Y41" s="1278" t="s">
        <v>575</v>
      </c>
      <c r="Z41" s="1394" t="s">
        <v>576</v>
      </c>
      <c r="AA41" s="2326" t="s">
        <v>577</v>
      </c>
      <c r="AB41" s="2327"/>
      <c r="AC41" s="2335"/>
      <c r="AD41" s="2317"/>
      <c r="AE41" s="2340"/>
      <c r="AF41" s="1278" t="s">
        <v>574</v>
      </c>
      <c r="AG41" s="1278" t="s">
        <v>575</v>
      </c>
      <c r="AH41" s="1394" t="s">
        <v>576</v>
      </c>
      <c r="AI41" s="2326" t="s">
        <v>577</v>
      </c>
      <c r="AJ41" s="2327"/>
      <c r="AK41" s="2335"/>
      <c r="AL41" s="2338"/>
      <c r="AM41" s="2183"/>
      <c r="AS41" s="1211">
        <v>34</v>
      </c>
    </row>
    <row s="3442" customFormat="1" customHeight="1" ht="11.25" hidden="1">
      <c r="A42" s="1426"/>
      <c r="B42" s="1426"/>
      <c r="C42" s="1426"/>
      <c r="D42" s="1426"/>
      <c r="E42" s="1426"/>
      <c r="F42" s="1426"/>
      <c r="G42" s="1426"/>
      <c r="H42" s="1426"/>
      <c r="I42" s="1426"/>
      <c r="J42" s="1426"/>
      <c r="K42" s="1426"/>
      <c r="L42" s="1420"/>
      <c r="M42" s="1418"/>
      <c r="N42" s="1418"/>
      <c r="O42" s="1418"/>
      <c r="P42" s="1302"/>
      <c r="Q42" s="1303"/>
      <c r="R42" s="1310">
        <v>1</v>
      </c>
      <c r="S42" s="1333" t="s">
        <v>191</v>
      </c>
      <c r="T42" s="1311" t="s">
        <v>108</v>
      </c>
      <c r="U42" s="1301" t="str">
        <f>OFFSET(U42,0,-1)</f>
        <v>2</v>
      </c>
      <c r="V42" s="1391">
        <f>OFFSET(V42,0,-1)+1</f>
        <v>3</v>
      </c>
      <c r="W42" s="1391"/>
      <c r="X42" s="1391">
        <f>OFFSET(X42,0,-1)+1</f>
        <v>1</v>
      </c>
      <c r="Y42" s="1391">
        <f>OFFSET(Y42,0,-1)+1</f>
        <v>2</v>
      </c>
      <c r="Z42" s="1391">
        <f>OFFSET(Z42,0,-1)+1</f>
        <v>3</v>
      </c>
      <c r="AA42" s="2328">
        <f>OFFSET(AA42,0,-1)+1</f>
        <v>4</v>
      </c>
      <c r="AB42" s="2328"/>
      <c r="AC42" s="1391">
        <f>OFFSET(AC42,0,-2)+1</f>
        <v>5</v>
      </c>
      <c r="AD42" s="1391">
        <f>OFFSET(AD42,0,-1)+1</f>
        <v>6</v>
      </c>
      <c r="AE42" s="1391"/>
      <c r="AF42" s="1391">
        <f>OFFSET(AF42,0,-1)+1</f>
        <v>1</v>
      </c>
      <c r="AG42" s="1391">
        <f>OFFSET(AG42,0,-1)+1</f>
        <v>2</v>
      </c>
      <c r="AH42" s="1391">
        <f>OFFSET(AH42,0,-1)+1</f>
        <v>3</v>
      </c>
      <c r="AI42" s="2328">
        <f>OFFSET(AI42,0,-1)+1</f>
        <v>4</v>
      </c>
      <c r="AJ42" s="2328"/>
      <c r="AK42" s="1391">
        <f>OFFSET(AK42,0,-2)+1</f>
        <v>5</v>
      </c>
      <c r="AL42" s="1301">
        <f>OFFSET(AL42,0,-1)</f>
        <v>5</v>
      </c>
      <c r="AM42" s="1391">
        <f>OFFSET(AM42,0,-1)+1</f>
        <v>6</v>
      </c>
      <c r="AN42" s="567"/>
      <c r="AO42" s="567"/>
      <c r="AP42" s="567"/>
      <c r="AQ42" s="567"/>
      <c r="AR42" s="567"/>
      <c r="AS42" s="552">
        <v>0</v>
      </c>
    </row>
    <row customHeight="1" ht="22.049999999999997">
      <c r="A43" s="1419" t="s">
        <v>259</v>
      </c>
      <c r="B43" s="1419"/>
      <c r="C43" s="1419"/>
      <c r="D43" s="1419"/>
      <c r="E43" s="2314">
        <v>1</v>
      </c>
      <c r="F43" s="1419"/>
      <c r="G43" s="1419"/>
      <c r="H43" s="1419"/>
      <c r="I43" s="1419"/>
      <c r="J43" s="1419"/>
      <c r="K43" s="1419"/>
      <c r="L43" s="1420"/>
      <c r="M43" s="1421"/>
      <c r="N43" s="1421"/>
      <c r="O43" s="1421"/>
      <c r="P43" s="417"/>
      <c r="Q43" s="416"/>
      <c r="R43" s="411"/>
      <c r="S43" s="1392">
        <f>INDEX(PT_DIFFERENTIATION_NUM_NTAR,MATCH(A43,PT_DIFFERENTIATION_NTAR_ID,0))</f>
        <v>0</v>
      </c>
      <c r="T43" s="354" t="s">
        <v>202</v>
      </c>
      <c r="U43" s="356"/>
      <c r="V43" s="2298"/>
      <c r="W43" s="2299"/>
      <c r="X43" s="2299"/>
      <c r="Y43" s="2299"/>
      <c r="Z43" s="2299"/>
      <c r="AA43" s="2299"/>
      <c r="AB43" s="2299"/>
      <c r="AC43" s="2300"/>
      <c r="AD43" s="2298" t="str">
        <f>INDEX(PT_DIFFERENTIATION_NTAR,MATCH(A43,PT_DIFFERENTIATION_NTAR_ID,0))</f>
        <v/>
      </c>
      <c r="AE43" s="2299"/>
      <c r="AF43" s="2299"/>
      <c r="AG43" s="2299"/>
      <c r="AH43" s="2299"/>
      <c r="AI43" s="2299"/>
      <c r="AJ43" s="2299"/>
      <c r="AK43" s="2299"/>
      <c r="AL43" s="2300"/>
      <c r="AM43" s="131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56"/>
      <c r="AP43" s="556" t="str">
        <f>IF(T43="","",T43)</f>
        <v>Наименование тарифа</v>
      </c>
      <c r="AQ43" s="556"/>
      <c r="AR43" s="556"/>
      <c r="AS43" s="1211">
        <v>21</v>
      </c>
    </row>
    <row customHeight="1" ht="22.049999999999997">
      <c r="A44" s="1419" t="s">
        <v>259</v>
      </c>
      <c r="B44" s="1419" t="s">
        <v>260</v>
      </c>
      <c r="C44" s="1419"/>
      <c r="D44" s="1419"/>
      <c r="E44" s="2315"/>
      <c r="F44" s="2314">
        <v>1</v>
      </c>
      <c r="G44" s="1419"/>
      <c r="H44" s="1419"/>
      <c r="I44" s="1419"/>
      <c r="J44" s="1419"/>
      <c r="K44" s="1419"/>
      <c r="L44" s="1420"/>
      <c r="M44" s="1421"/>
      <c r="N44" s="1421"/>
      <c r="O44" s="1421"/>
      <c r="P44" s="1388"/>
      <c r="Q44" s="408"/>
      <c r="R44" s="409"/>
      <c r="S44" s="1392" t="str">
        <f>INDEX(PT_DIFFERENTIATION_NUM_TER,MATCH(B44,PT_DIFFERENTIATION_TER_ID,0))</f>
        <v>.</v>
      </c>
      <c r="T44" s="364" t="s">
        <v>529</v>
      </c>
      <c r="U44" s="356"/>
      <c r="V44" s="2298"/>
      <c r="W44" s="2299"/>
      <c r="X44" s="2299"/>
      <c r="Y44" s="2299"/>
      <c r="Z44" s="2299"/>
      <c r="AA44" s="2299"/>
      <c r="AB44" s="2299"/>
      <c r="AC44" s="2300"/>
      <c r="AD44" s="2298" t="str">
        <f>INDEX(PT_DIFFERENTIATION_TER,MATCH(B44,PT_DIFFERENTIATION_TER_ID,0))</f>
        <v/>
      </c>
      <c r="AE44" s="2299"/>
      <c r="AF44" s="2299"/>
      <c r="AG44" s="2299"/>
      <c r="AH44" s="2299"/>
      <c r="AI44" s="2299"/>
      <c r="AJ44" s="2299"/>
      <c r="AK44" s="2299"/>
      <c r="AL44" s="2300"/>
      <c r="AM44" s="1314" t="s">
        <v>530</v>
      </c>
      <c r="AO44" s="556"/>
      <c r="AP44" s="556" t="str">
        <f>IF(T44="","",T44)</f>
        <v>Территория действия тарифа</v>
      </c>
      <c r="AQ44" s="556"/>
      <c r="AR44" s="556"/>
      <c r="AS44" s="1211">
        <v>21</v>
      </c>
    </row>
    <row customHeight="1" ht="24">
      <c r="A45" s="1419" t="s">
        <v>259</v>
      </c>
      <c r="B45" s="1419" t="s">
        <v>260</v>
      </c>
      <c r="C45" s="1419" t="s">
        <v>261</v>
      </c>
      <c r="D45" s="1419"/>
      <c r="E45" s="2315"/>
      <c r="F45" s="2315"/>
      <c r="G45" s="2314">
        <v>1</v>
      </c>
      <c r="H45" s="1419"/>
      <c r="I45" s="1419"/>
      <c r="J45" s="1419"/>
      <c r="K45" s="1419"/>
      <c r="L45" s="1420"/>
      <c r="M45" s="1421"/>
      <c r="N45" s="1421"/>
      <c r="O45" s="1421"/>
      <c r="P45" s="410"/>
      <c r="Q45" s="408"/>
      <c r="R45" s="409"/>
      <c r="S45" s="1392" t="str">
        <f>INDEX(PT_DIFFERENTIATION_NUM_CS,MATCH(C45,PT_DIFFERENTIATION_CS_ID,0))</f>
        <v>..</v>
      </c>
      <c r="T45" s="365" t="s">
        <v>531</v>
      </c>
      <c r="U45" s="356"/>
      <c r="V45" s="2298"/>
      <c r="W45" s="2299"/>
      <c r="X45" s="2299"/>
      <c r="Y45" s="2299"/>
      <c r="Z45" s="2299"/>
      <c r="AA45" s="2299"/>
      <c r="AB45" s="2299"/>
      <c r="AC45" s="2300"/>
      <c r="AD45" s="2298" t="str">
        <f>INDEX(PT_DIFFERENTIATION_CS,MATCH(C45,PT_DIFFERENTIATION_CS_ID,0))</f>
        <v/>
      </c>
      <c r="AE45" s="2299"/>
      <c r="AF45" s="2299"/>
      <c r="AG45" s="2299"/>
      <c r="AH45" s="2299"/>
      <c r="AI45" s="2299"/>
      <c r="AJ45" s="2299"/>
      <c r="AK45" s="2299"/>
      <c r="AL45" s="2300"/>
      <c r="AM45" s="1314" t="s">
        <v>532</v>
      </c>
      <c r="AO45" s="556"/>
      <c r="AP45" s="556" t="str">
        <f>IF(T45="","",T45)</f>
        <v>Наименование системы теплоснабжения </v>
      </c>
      <c r="AQ45" s="556"/>
      <c r="AR45" s="556"/>
      <c r="AS45" s="1211">
        <v>23</v>
      </c>
    </row>
    <row customHeight="1" ht="22.049999999999997">
      <c r="A46" s="1419" t="s">
        <v>259</v>
      </c>
      <c r="B46" s="1419" t="s">
        <v>260</v>
      </c>
      <c r="C46" s="1419" t="s">
        <v>261</v>
      </c>
      <c r="D46" s="1419" t="s">
        <v>262</v>
      </c>
      <c r="E46" s="2315"/>
      <c r="F46" s="2315"/>
      <c r="G46" s="2315"/>
      <c r="H46" s="2314">
        <v>1</v>
      </c>
      <c r="I46" s="1419"/>
      <c r="J46" s="1419"/>
      <c r="K46" s="1419"/>
      <c r="L46" s="1420"/>
      <c r="M46" s="1421"/>
      <c r="N46" s="1421"/>
      <c r="O46" s="1421"/>
      <c r="P46" s="410"/>
      <c r="Q46" s="408"/>
      <c r="R46" s="409"/>
      <c r="S46" s="1392" t="str">
        <f>INDEX(PT_DIFFERENTIATION_NUM_IST_TE,MATCH(D46,PT_DIFFERENTIATION_IST_TE_ID,0))</f>
        <v>...</v>
      </c>
      <c r="T46" s="366" t="s">
        <v>533</v>
      </c>
      <c r="U46" s="356"/>
      <c r="V46" s="2298"/>
      <c r="W46" s="2299"/>
      <c r="X46" s="2299"/>
      <c r="Y46" s="2299"/>
      <c r="Z46" s="2299"/>
      <c r="AA46" s="2299"/>
      <c r="AB46" s="2299"/>
      <c r="AC46" s="2300"/>
      <c r="AD46" s="2298" t="str">
        <f>INDEX(PT_DIFFERENTIATION_IST_TE,MATCH(D46,PT_DIFFERENTIATION_IST_TE_ID,0))</f>
        <v/>
      </c>
      <c r="AE46" s="2299"/>
      <c r="AF46" s="2299"/>
      <c r="AG46" s="2299"/>
      <c r="AH46" s="2299"/>
      <c r="AI46" s="2299"/>
      <c r="AJ46" s="2299"/>
      <c r="AK46" s="2299"/>
      <c r="AL46" s="2300"/>
      <c r="AM46" s="1314" t="s">
        <v>534</v>
      </c>
      <c r="AO46" s="556"/>
      <c r="AP46" s="556" t="str">
        <f>IF(T46="","",T46)</f>
        <v>Источник тепловой энергии  </v>
      </c>
      <c r="AQ46" s="556"/>
      <c r="AR46" s="556"/>
      <c r="AS46" s="1211">
        <v>21</v>
      </c>
    </row>
    <row s="2851" customFormat="1" customHeight="1" ht="0">
      <c r="A47" s="1399" t="s">
        <v>259</v>
      </c>
      <c r="B47" s="1399" t="s">
        <v>260</v>
      </c>
      <c r="C47" s="1399" t="s">
        <v>261</v>
      </c>
      <c r="D47" s="1399" t="s">
        <v>262</v>
      </c>
      <c r="E47" s="2315"/>
      <c r="F47" s="2315"/>
      <c r="G47" s="2315"/>
      <c r="H47" s="2315"/>
      <c r="I47" s="2312" t="str">
        <f>S46&amp;".1"</f>
        <v>....1</v>
      </c>
      <c r="J47" s="1399"/>
      <c r="K47" s="1399"/>
      <c r="L47" s="1402" t="s">
        <v>535</v>
      </c>
      <c r="M47" s="566"/>
      <c r="N47" s="566"/>
      <c r="O47" s="566"/>
      <c r="P47" s="2313">
        <v>1</v>
      </c>
      <c r="Q47" s="1387"/>
      <c r="R47" s="412"/>
      <c r="S47" s="1098"/>
      <c r="T47" s="1439"/>
      <c r="U47" s="1440"/>
      <c r="V47" s="2352"/>
      <c r="W47" s="2353"/>
      <c r="X47" s="2353"/>
      <c r="Y47" s="2353"/>
      <c r="Z47" s="2353"/>
      <c r="AA47" s="2353"/>
      <c r="AB47" s="2353"/>
      <c r="AC47" s="2354"/>
      <c r="AD47" s="2352"/>
      <c r="AE47" s="2353"/>
      <c r="AF47" s="2353"/>
      <c r="AG47" s="2353"/>
      <c r="AH47" s="2353"/>
      <c r="AI47" s="2353"/>
      <c r="AJ47" s="2353"/>
      <c r="AK47" s="2353"/>
      <c r="AL47" s="2354"/>
      <c r="AM47" s="1441"/>
      <c r="AO47" s="556"/>
      <c r="AP47" s="556" t="str">
        <f>IF(T47="","",T47)</f>
        <v/>
      </c>
      <c r="AQ47" s="556"/>
      <c r="AR47" s="556"/>
      <c r="AS47" s="567">
        <v>0</v>
      </c>
    </row>
    <row customHeight="1" ht="22.049999999999997">
      <c r="A48" s="1419" t="s">
        <v>259</v>
      </c>
      <c r="B48" s="1419" t="s">
        <v>260</v>
      </c>
      <c r="C48" s="1419" t="s">
        <v>261</v>
      </c>
      <c r="D48" s="1419" t="s">
        <v>262</v>
      </c>
      <c r="E48" s="2315"/>
      <c r="F48" s="2315"/>
      <c r="G48" s="2315"/>
      <c r="H48" s="2315"/>
      <c r="I48" s="2342"/>
      <c r="J48" s="2312" t="str">
        <f>S46&amp;".1"</f>
        <v>....1</v>
      </c>
      <c r="K48" s="1419"/>
      <c r="L48" s="1420" t="s">
        <v>538</v>
      </c>
      <c r="P48" s="2313"/>
      <c r="Q48" s="2313">
        <v>1</v>
      </c>
      <c r="R48" s="413"/>
      <c r="S48" s="1392" t="str">
        <f>$J48</f>
        <v>....1</v>
      </c>
      <c r="T48" s="342" t="s">
        <v>539</v>
      </c>
      <c r="U48" s="356"/>
      <c r="V48" s="2301"/>
      <c r="W48" s="2302"/>
      <c r="X48" s="2302"/>
      <c r="Y48" s="2302"/>
      <c r="Z48" s="2302"/>
      <c r="AA48" s="2302"/>
      <c r="AB48" s="2302"/>
      <c r="AC48" s="2303"/>
      <c r="AD48" s="2301"/>
      <c r="AE48" s="2302"/>
      <c r="AF48" s="2302"/>
      <c r="AG48" s="2302"/>
      <c r="AH48" s="2302"/>
      <c r="AI48" s="2302"/>
      <c r="AJ48" s="2302"/>
      <c r="AK48" s="2302"/>
      <c r="AL48" s="2303"/>
      <c r="AM48" s="1314" t="s">
        <v>540</v>
      </c>
      <c r="AO48" s="556"/>
      <c r="AP48" s="556" t="str">
        <f>IF(T48="","",T48)</f>
        <v>Группа потребителей</v>
      </c>
      <c r="AQ48" s="556"/>
      <c r="AR48" s="556"/>
      <c r="AS48" s="1211">
        <v>21</v>
      </c>
    </row>
    <row customHeight="1" ht="22.049999999999997">
      <c r="A49" s="1419" t="s">
        <v>259</v>
      </c>
      <c r="B49" s="1419" t="s">
        <v>260</v>
      </c>
      <c r="C49" s="1419" t="s">
        <v>261</v>
      </c>
      <c r="D49" s="1419" t="s">
        <v>262</v>
      </c>
      <c r="E49" s="2315"/>
      <c r="F49" s="2315"/>
      <c r="G49" s="2315"/>
      <c r="H49" s="2315"/>
      <c r="I49" s="2342"/>
      <c r="J49" s="2342"/>
      <c r="K49" s="2312" t="str">
        <f>J48&amp;".1"</f>
        <v>....1.1</v>
      </c>
      <c r="L49" s="1420" t="s">
        <v>541</v>
      </c>
      <c r="P49" s="2313"/>
      <c r="Q49" s="2313"/>
      <c r="R49" s="413">
        <v>1</v>
      </c>
      <c r="S49" s="1392" t="str">
        <f>$K49</f>
        <v>....1.1</v>
      </c>
      <c r="T49" s="1403"/>
      <c r="U49" s="356"/>
      <c r="V49" s="807"/>
      <c r="W49" s="381"/>
      <c r="X49" s="807"/>
      <c r="Y49" s="1313"/>
      <c r="Z49" s="2321"/>
      <c r="AA49" s="2163" t="s">
        <v>65</v>
      </c>
      <c r="AB49" s="2321"/>
      <c r="AC49" s="2163" t="s">
        <v>65</v>
      </c>
      <c r="AD49" s="807"/>
      <c r="AE49" s="381"/>
      <c r="AF49" s="807"/>
      <c r="AG49" s="1313"/>
      <c r="AH49" s="2321"/>
      <c r="AI49" s="2163" t="s">
        <v>65</v>
      </c>
      <c r="AJ49" s="2343"/>
      <c r="AK49" s="2163" t="s">
        <v>65</v>
      </c>
      <c r="AL49" s="1404"/>
      <c r="AM49" s="2309" t="s">
        <v>580</v>
      </c>
      <c r="AN49" s="567">
        <f>STRCHECKDATE(V50:AL50)</f>
      </c>
      <c r="AO49" s="556"/>
      <c r="AP49" s="556" t="str">
        <f>IF(T49="","",T49)</f>
        <v/>
      </c>
      <c r="AQ49" s="556"/>
      <c r="AR49" s="556"/>
      <c r="AS49" s="1211">
        <v>21</v>
      </c>
    </row>
    <row customHeight="1" ht="0">
      <c r="A50" s="1419" t="s">
        <v>259</v>
      </c>
      <c r="B50" s="1419" t="s">
        <v>260</v>
      </c>
      <c r="C50" s="1419" t="s">
        <v>261</v>
      </c>
      <c r="D50" s="1419" t="s">
        <v>262</v>
      </c>
      <c r="E50" s="2315"/>
      <c r="F50" s="2315"/>
      <c r="G50" s="2315"/>
      <c r="H50" s="2315"/>
      <c r="I50" s="2342"/>
      <c r="J50" s="2342"/>
      <c r="K50" s="2312"/>
      <c r="L50" s="1420"/>
      <c r="P50" s="2313"/>
      <c r="Q50" s="2313"/>
      <c r="R50" s="413"/>
      <c r="S50" s="1398"/>
      <c r="T50" s="356"/>
      <c r="U50" s="356"/>
      <c r="V50" s="381"/>
      <c r="W50" s="381"/>
      <c r="X50" s="381"/>
      <c r="Y50" s="384" t="str">
        <f>Z49&amp;"-"&amp;AB49</f>
        <v>-</v>
      </c>
      <c r="Z50" s="2322"/>
      <c r="AA50" s="2163"/>
      <c r="AB50" s="2322"/>
      <c r="AC50" s="2163"/>
      <c r="AD50" s="381"/>
      <c r="AE50" s="381"/>
      <c r="AF50" s="381"/>
      <c r="AG50" s="384" t="str">
        <f>AH49&amp;"-"&amp;AJ49</f>
        <v>-</v>
      </c>
      <c r="AH50" s="2322"/>
      <c r="AI50" s="2163"/>
      <c r="AJ50" s="2344"/>
      <c r="AK50" s="2163"/>
      <c r="AL50" s="1405"/>
      <c r="AM50" s="2310"/>
      <c r="AO50" s="556"/>
      <c r="AP50" s="556" t="str">
        <f>IF(T50="","",T50)</f>
        <v/>
      </c>
      <c r="AQ50" s="556"/>
      <c r="AR50" s="556"/>
      <c r="AS50" s="1211">
        <v>0</v>
      </c>
    </row>
    <row customHeight="1" ht="11.549999999999999">
      <c r="A51" s="1419" t="s">
        <v>259</v>
      </c>
      <c r="B51" s="1419" t="s">
        <v>260</v>
      </c>
      <c r="C51" s="1419" t="s">
        <v>261</v>
      </c>
      <c r="D51" s="1419" t="s">
        <v>262</v>
      </c>
      <c r="E51" s="2315"/>
      <c r="F51" s="2315"/>
      <c r="G51" s="2315"/>
      <c r="H51" s="2315"/>
      <c r="I51" s="2342"/>
      <c r="J51" s="2312"/>
      <c r="K51" s="1419"/>
      <c r="L51" s="1420"/>
      <c r="P51" s="2313"/>
      <c r="Q51" s="2313"/>
      <c r="R51" s="412"/>
      <c r="S51" s="1334"/>
      <c r="T51" s="343" t="s">
        <v>543</v>
      </c>
      <c r="U51" s="423"/>
      <c r="V51" s="423"/>
      <c r="W51" s="423"/>
      <c r="X51" s="423"/>
      <c r="Y51" s="423"/>
      <c r="Z51" s="423"/>
      <c r="AA51" s="423"/>
      <c r="AB51" s="423"/>
      <c r="AC51" s="423"/>
      <c r="AD51" s="423"/>
      <c r="AE51" s="423"/>
      <c r="AF51" s="423"/>
      <c r="AG51" s="423"/>
      <c r="AH51" s="423"/>
      <c r="AI51" s="423"/>
      <c r="AJ51" s="423"/>
      <c r="AK51" s="423"/>
      <c r="AL51" s="380"/>
      <c r="AM51" s="2311"/>
      <c r="AO51" s="556"/>
      <c r="AP51" s="556" t="str">
        <f>IF(T51="","",T51)</f>
        <v>Добавить вид теплоносителя (параметры теплоносителя)</v>
      </c>
      <c r="AQ51" s="556"/>
      <c r="AR51" s="556"/>
      <c r="AS51" s="1211">
        <v>11</v>
      </c>
    </row>
    <row customHeight="1" ht="11.549999999999999">
      <c r="A52" s="1419" t="s">
        <v>259</v>
      </c>
      <c r="B52" s="1419" t="s">
        <v>260</v>
      </c>
      <c r="C52" s="1419" t="s">
        <v>261</v>
      </c>
      <c r="D52" s="1419" t="s">
        <v>262</v>
      </c>
      <c r="E52" s="2315"/>
      <c r="F52" s="2315"/>
      <c r="G52" s="2315"/>
      <c r="H52" s="2315"/>
      <c r="I52" s="2312"/>
      <c r="J52" s="1419"/>
      <c r="K52" s="1419"/>
      <c r="L52" s="1420"/>
      <c r="P52" s="2313"/>
      <c r="Q52" s="1387"/>
      <c r="R52" s="412"/>
      <c r="S52" s="1334"/>
      <c r="T52" s="421" t="s">
        <v>544</v>
      </c>
      <c r="U52" s="423"/>
      <c r="V52" s="423"/>
      <c r="W52" s="423"/>
      <c r="X52" s="423"/>
      <c r="Y52" s="423"/>
      <c r="Z52" s="423"/>
      <c r="AA52" s="423"/>
      <c r="AB52" s="423"/>
      <c r="AC52" s="422"/>
      <c r="AD52" s="423"/>
      <c r="AE52" s="423"/>
      <c r="AF52" s="423"/>
      <c r="AG52" s="423"/>
      <c r="AH52" s="423"/>
      <c r="AI52" s="423"/>
      <c r="AJ52" s="423"/>
      <c r="AK52" s="422"/>
      <c r="AL52" s="423"/>
      <c r="AM52" s="359"/>
      <c r="AO52" s="556"/>
      <c r="AP52" s="556" t="str">
        <f>IF(T52="","",T52)</f>
        <v>Добавить группу потребителей</v>
      </c>
      <c r="AQ52" s="556"/>
      <c r="AR52" s="556"/>
      <c r="AS52" s="1211">
        <v>11</v>
      </c>
    </row>
    <row customHeight="1" ht="0">
      <c r="A53" s="1419" t="s">
        <v>259</v>
      </c>
      <c r="B53" s="1419" t="s">
        <v>260</v>
      </c>
      <c r="C53" s="1419" t="s">
        <v>261</v>
      </c>
      <c r="D53" s="1419" t="s">
        <v>262</v>
      </c>
      <c r="E53" s="2315"/>
      <c r="F53" s="2315"/>
      <c r="G53" s="2315"/>
      <c r="H53" s="2314"/>
      <c r="I53" s="1419"/>
      <c r="J53" s="1419"/>
      <c r="K53" s="1419"/>
      <c r="L53" s="1420"/>
      <c r="M53" s="1421"/>
      <c r="N53" s="1421"/>
      <c r="O53" s="593"/>
      <c r="P53" s="416"/>
      <c r="Q53" s="431"/>
      <c r="R53" s="411"/>
      <c r="S53" s="1442"/>
      <c r="T53" s="1443"/>
      <c r="U53" s="1444"/>
      <c r="V53" s="1444"/>
      <c r="W53" s="1444"/>
      <c r="X53" s="1444"/>
      <c r="Y53" s="1444"/>
      <c r="Z53" s="1444"/>
      <c r="AA53" s="1444"/>
      <c r="AB53" s="1444"/>
      <c r="AC53" s="1444"/>
      <c r="AD53" s="1444"/>
      <c r="AE53" s="1444"/>
      <c r="AF53" s="1444"/>
      <c r="AG53" s="1444"/>
      <c r="AH53" s="1444"/>
      <c r="AI53" s="1444"/>
      <c r="AJ53" s="1444"/>
      <c r="AK53" s="1444"/>
      <c r="AL53" s="1444"/>
      <c r="AM53" s="1445"/>
      <c r="AO53" s="556"/>
      <c r="AP53" s="556" t="str">
        <f>IF(T53="","",T53)</f>
        <v/>
      </c>
      <c r="AQ53" s="556"/>
      <c r="AR53" s="556"/>
      <c r="AS53" s="1211">
        <v>0</v>
      </c>
    </row>
    <row s="2851" customFormat="1" customHeight="1" ht="0">
      <c r="A54" s="1399" t="s">
        <v>259</v>
      </c>
      <c r="B54" s="1399" t="s">
        <v>260</v>
      </c>
      <c r="C54" s="1399" t="s">
        <v>261</v>
      </c>
      <c r="D54" s="1370"/>
      <c r="E54" s="2315"/>
      <c r="F54" s="2315"/>
      <c r="G54" s="2314"/>
      <c r="H54" s="1370"/>
      <c r="I54" s="1370"/>
      <c r="J54" s="1370"/>
      <c r="K54" s="1370"/>
      <c r="L54" s="1395"/>
      <c r="M54" s="1371"/>
      <c r="N54" s="1371"/>
      <c r="P54" s="1372"/>
      <c r="Q54" s="1373"/>
      <c r="R54" s="1372"/>
      <c r="S54" s="1378"/>
      <c r="T54" s="1381" t="s">
        <v>546</v>
      </c>
      <c r="U54" s="1380"/>
      <c r="V54" s="1380"/>
      <c r="W54" s="1380"/>
      <c r="X54" s="1380"/>
      <c r="Y54" s="1380"/>
      <c r="Z54" s="1380"/>
      <c r="AA54" s="1380"/>
      <c r="AB54" s="1380"/>
      <c r="AC54" s="1380"/>
      <c r="AD54" s="1380"/>
      <c r="AE54" s="1380"/>
      <c r="AF54" s="1380"/>
      <c r="AG54" s="1380"/>
      <c r="AH54" s="1380"/>
      <c r="AI54" s="1380"/>
      <c r="AJ54" s="1380"/>
      <c r="AK54" s="1380"/>
      <c r="AL54" s="1380"/>
      <c r="AM54" s="1380"/>
      <c r="AO54" s="845"/>
      <c r="AP54" s="845" t="str">
        <f>IF(T54="","",T54)</f>
        <v>Добавить источник для дифференциации</v>
      </c>
      <c r="AQ54" s="845"/>
      <c r="AR54" s="845"/>
      <c r="AS54" s="574">
        <v>0</v>
      </c>
    </row>
    <row s="2851" customFormat="1" customHeight="1" ht="0">
      <c r="A55" s="1399" t="s">
        <v>259</v>
      </c>
      <c r="B55" s="1399" t="s">
        <v>260</v>
      </c>
      <c r="C55" s="1370"/>
      <c r="D55" s="1370"/>
      <c r="E55" s="2315"/>
      <c r="F55" s="2314"/>
      <c r="G55" s="1370"/>
      <c r="H55" s="1370"/>
      <c r="I55" s="1370"/>
      <c r="J55" s="1370"/>
      <c r="K55" s="1370"/>
      <c r="L55" s="1395"/>
      <c r="M55" s="1377"/>
      <c r="N55" s="1377"/>
      <c r="P55" s="1372"/>
      <c r="Q55" s="1373"/>
      <c r="R55" s="1372"/>
      <c r="S55" s="1378"/>
      <c r="T55" s="1381" t="s">
        <v>302</v>
      </c>
      <c r="U55" s="1380"/>
      <c r="V55" s="1380"/>
      <c r="W55" s="1380"/>
      <c r="X55" s="1380"/>
      <c r="Y55" s="1380"/>
      <c r="Z55" s="1380"/>
      <c r="AA55" s="1380"/>
      <c r="AB55" s="1380"/>
      <c r="AC55" s="1380"/>
      <c r="AD55" s="1380"/>
      <c r="AE55" s="1380"/>
      <c r="AF55" s="1380"/>
      <c r="AG55" s="1380"/>
      <c r="AH55" s="1380"/>
      <c r="AI55" s="1380"/>
      <c r="AJ55" s="1380"/>
      <c r="AK55" s="1380"/>
      <c r="AL55" s="1380"/>
      <c r="AM55" s="1380"/>
      <c r="AO55" s="845"/>
      <c r="AP55" s="845" t="str">
        <f>IF(T55="","",T55)</f>
        <v>Добавить централизованную систему для дифференциации</v>
      </c>
      <c r="AQ55" s="845"/>
      <c r="AR55" s="845"/>
      <c r="AS55" s="574">
        <v>0</v>
      </c>
    </row>
    <row s="2851" customFormat="1" customHeight="1" ht="0">
      <c r="A56" s="1399" t="s">
        <v>259</v>
      </c>
      <c r="B56" s="1399"/>
      <c r="C56" s="1399"/>
      <c r="D56" s="1399"/>
      <c r="E56" s="2314"/>
      <c r="F56" s="1399"/>
      <c r="G56" s="1399"/>
      <c r="H56" s="1399"/>
      <c r="I56" s="1399"/>
      <c r="J56" s="1399"/>
      <c r="K56" s="1399"/>
      <c r="L56" s="1402"/>
      <c r="M56" s="1377"/>
      <c r="N56" s="1377"/>
      <c r="O56" s="574"/>
      <c r="P56" s="436"/>
      <c r="Q56" s="1400"/>
      <c r="R56" s="436"/>
      <c r="S56" s="1378"/>
      <c r="T56" s="1381" t="s">
        <v>359</v>
      </c>
      <c r="U56" s="1380"/>
      <c r="V56" s="1380"/>
      <c r="W56" s="1380"/>
      <c r="X56" s="1380"/>
      <c r="Y56" s="1380"/>
      <c r="Z56" s="1380"/>
      <c r="AA56" s="1380"/>
      <c r="AB56" s="1380"/>
      <c r="AC56" s="1380"/>
      <c r="AD56" s="1380"/>
      <c r="AE56" s="1380"/>
      <c r="AF56" s="1380"/>
      <c r="AG56" s="1380"/>
      <c r="AH56" s="1380"/>
      <c r="AI56" s="1380"/>
      <c r="AJ56" s="1380"/>
      <c r="AK56" s="1380"/>
      <c r="AL56" s="1380"/>
      <c r="AM56" s="1380"/>
      <c r="AO56" s="556"/>
      <c r="AP56" s="556" t="str">
        <f>IF(T56="","",T56)</f>
        <v>Добавить территорию для дифференциации</v>
      </c>
      <c r="AQ56" s="556"/>
      <c r="AR56" s="556"/>
      <c r="AS56" s="567">
        <v>0</v>
      </c>
    </row>
    <row s="2851" customFormat="1" customHeight="1" ht="4.2">
      <c r="A57" s="1370"/>
      <c r="B57" s="1370"/>
      <c r="C57" s="1370"/>
      <c r="D57" s="1370"/>
      <c r="E57" s="1399"/>
      <c r="F57" s="1370"/>
      <c r="G57" s="1370"/>
      <c r="H57" s="1370"/>
      <c r="I57" s="1370"/>
      <c r="J57" s="1370"/>
      <c r="K57" s="1370"/>
      <c r="L57" s="1395"/>
      <c r="M57" s="1377"/>
      <c r="N57" s="1377"/>
      <c r="P57" s="1372"/>
      <c r="Q57" s="1373"/>
      <c r="R57" s="1372"/>
      <c r="S57" s="1378"/>
      <c r="T57" s="1381" t="s">
        <v>360</v>
      </c>
      <c r="U57" s="1380"/>
      <c r="V57" s="1380"/>
      <c r="W57" s="1380"/>
      <c r="X57" s="1380"/>
      <c r="Y57" s="1380"/>
      <c r="Z57" s="1380"/>
      <c r="AA57" s="1380"/>
      <c r="AB57" s="1380"/>
      <c r="AC57" s="1380"/>
      <c r="AD57" s="1380"/>
      <c r="AE57" s="1380"/>
      <c r="AF57" s="1380"/>
      <c r="AG57" s="1380"/>
      <c r="AH57" s="1380"/>
      <c r="AI57" s="1380"/>
      <c r="AJ57" s="1380"/>
      <c r="AK57" s="1380"/>
      <c r="AL57" s="1380"/>
      <c r="AM57" s="1380"/>
      <c r="AO57" s="845"/>
      <c r="AP57" s="845" t="str">
        <f>IF(T57="","",T57)</f>
        <v>Добавить наименование тарифа</v>
      </c>
      <c r="AQ57" s="845"/>
      <c r="AR57" s="845"/>
      <c r="AS57" s="574">
        <v>4</v>
      </c>
    </row>
    <row customHeight="1" ht="11.549999999999999">
      <c r="M58" s="1216"/>
      <c r="N58" s="1216"/>
      <c r="O58" s="593"/>
      <c r="P58" s="1211"/>
      <c r="Q58" s="1211"/>
      <c r="R58" s="1211"/>
      <c r="S58" s="1211"/>
      <c r="AN58" s="1211"/>
      <c r="AO58" s="1211"/>
      <c r="AP58" s="1211"/>
      <c r="AQ58" s="1211"/>
      <c r="AR58" s="1211"/>
      <c r="AS58" s="1211">
        <v>11</v>
      </c>
    </row>
    <row customHeight="1" ht="14.699999999999998">
      <c r="O59" s="593"/>
      <c r="S59" s="1309"/>
      <c r="T59" s="2341"/>
      <c r="U59" s="2341"/>
      <c r="V59" s="2341"/>
      <c r="W59" s="2341"/>
      <c r="X59" s="2341"/>
      <c r="Y59" s="2341"/>
      <c r="Z59" s="2341"/>
      <c r="AA59" s="2341"/>
      <c r="AB59" s="2341"/>
      <c r="AC59" s="2341"/>
      <c r="AD59" s="2341"/>
      <c r="AE59" s="2341"/>
      <c r="AF59" s="2341"/>
      <c r="AG59" s="2341"/>
      <c r="AH59" s="2341"/>
      <c r="AI59" s="2341"/>
      <c r="AJ59" s="2341"/>
      <c r="AK59" s="2341"/>
      <c r="AL59" s="2341"/>
      <c r="AM59" s="2341"/>
      <c r="AS59" s="1211">
        <v>14</v>
      </c>
    </row>
    <row customHeight="1" ht="14.699999999999998">
      <c r="O60" s="593"/>
      <c r="T60" s="2341"/>
      <c r="U60" s="2341"/>
      <c r="V60" s="2341"/>
      <c r="W60" s="2341"/>
      <c r="X60" s="2341"/>
      <c r="Y60" s="2341"/>
      <c r="Z60" s="2341"/>
      <c r="AA60" s="2341"/>
      <c r="AB60" s="2341"/>
      <c r="AC60" s="2341"/>
      <c r="AD60" s="2341"/>
      <c r="AE60" s="2341"/>
      <c r="AF60" s="2341"/>
      <c r="AG60" s="2341"/>
      <c r="AH60" s="2341"/>
      <c r="AI60" s="2341"/>
      <c r="AJ60" s="2341"/>
      <c r="AK60" s="2341"/>
      <c r="AL60" s="2341"/>
      <c r="AM60" s="2341"/>
      <c r="AS60" s="1211">
        <v>14</v>
      </c>
    </row>
    <row customHeight="1" ht="14.699999999999998">
      <c r="O61" s="593"/>
      <c r="T61" s="2341"/>
      <c r="U61" s="2341"/>
      <c r="V61" s="2341"/>
      <c r="W61" s="2341"/>
      <c r="X61" s="2341"/>
      <c r="Y61" s="2341"/>
      <c r="Z61" s="2341"/>
      <c r="AA61" s="2341"/>
      <c r="AB61" s="2341"/>
      <c r="AC61" s="2341"/>
      <c r="AD61" s="2341"/>
      <c r="AE61" s="2341"/>
      <c r="AF61" s="2341"/>
      <c r="AG61" s="2341"/>
      <c r="AH61" s="2341"/>
      <c r="AI61" s="2341"/>
      <c r="AJ61" s="2341"/>
      <c r="AK61" s="2341"/>
      <c r="AL61" s="2341"/>
      <c r="AM61" s="2341"/>
      <c r="AS61" s="1211">
        <v>14</v>
      </c>
    </row>
    <row customHeight="1" ht="14.699999999999998">
      <c r="O62" s="593"/>
      <c r="AS62" s="1211">
        <v>14</v>
      </c>
    </row>
    <row customHeight="1" ht="14.699999999999998">
      <c r="O63" s="593"/>
      <c r="S63" s="1309"/>
      <c r="T63" s="2355"/>
      <c r="U63" s="2341"/>
      <c r="V63" s="2341"/>
      <c r="W63" s="2341"/>
      <c r="X63" s="2341"/>
      <c r="Y63" s="2341"/>
      <c r="Z63" s="2341"/>
      <c r="AA63" s="2341"/>
      <c r="AB63" s="2341"/>
      <c r="AC63" s="2341"/>
      <c r="AD63" s="2341"/>
      <c r="AE63" s="2341"/>
      <c r="AF63" s="2341"/>
      <c r="AG63" s="2341"/>
      <c r="AH63" s="2341"/>
      <c r="AI63" s="2341"/>
      <c r="AJ63" s="2341"/>
      <c r="AK63" s="2341"/>
      <c r="AL63" s="2341"/>
      <c r="AM63" s="2341"/>
      <c r="AS63" s="1211">
        <v>14</v>
      </c>
    </row>
    <row customHeight="1" ht="14.699999999999998">
      <c r="O64" s="593"/>
      <c r="T64" s="2341"/>
      <c r="U64" s="2341"/>
      <c r="V64" s="2341"/>
      <c r="W64" s="2341"/>
      <c r="X64" s="2341"/>
      <c r="Y64" s="2341"/>
      <c r="Z64" s="2341"/>
      <c r="AA64" s="2341"/>
      <c r="AB64" s="2341"/>
      <c r="AC64" s="2341"/>
      <c r="AD64" s="2341"/>
      <c r="AE64" s="2341"/>
      <c r="AF64" s="2341"/>
      <c r="AG64" s="2341"/>
      <c r="AH64" s="2341"/>
      <c r="AI64" s="2341"/>
      <c r="AJ64" s="2341"/>
      <c r="AK64" s="2341"/>
      <c r="AL64" s="2341"/>
      <c r="AM64" s="2341"/>
      <c r="AS64" s="1211">
        <v>14</v>
      </c>
    </row>
    <row customHeight="1" ht="14.699999999999998">
      <c r="T65" s="2341"/>
      <c r="U65" s="2341"/>
      <c r="V65" s="2341"/>
      <c r="W65" s="2341"/>
      <c r="X65" s="2341"/>
      <c r="Y65" s="2341"/>
      <c r="Z65" s="2341"/>
      <c r="AA65" s="2341"/>
      <c r="AB65" s="2341"/>
      <c r="AC65" s="2341"/>
      <c r="AD65" s="2341"/>
      <c r="AE65" s="2341"/>
      <c r="AF65" s="2341"/>
      <c r="AG65" s="2341"/>
      <c r="AH65" s="2341"/>
      <c r="AI65" s="2341"/>
      <c r="AJ65" s="2341"/>
      <c r="AK65" s="2341"/>
      <c r="AL65" s="2341"/>
      <c r="AM65" s="2341"/>
      <c r="AS65" s="1211">
        <v>14</v>
      </c>
    </row>
    <row customHeight="1" ht="22.5" hidden="1">
      <c r="A66" s="1216" t="s">
        <v>86</v>
      </c>
      <c r="B66" s="1216">
        <v>0</v>
      </c>
      <c r="C66" s="1216">
        <v>0</v>
      </c>
      <c r="D66" s="1216">
        <v>0</v>
      </c>
      <c r="E66" s="1216">
        <v>0</v>
      </c>
      <c r="F66" s="1216">
        <v>0</v>
      </c>
      <c r="G66" s="1216">
        <v>0</v>
      </c>
      <c r="H66" s="1216">
        <v>0</v>
      </c>
      <c r="I66" s="1216">
        <v>0</v>
      </c>
      <c r="J66" s="1216">
        <v>0</v>
      </c>
      <c r="K66" s="1216">
        <v>0</v>
      </c>
      <c r="L66" s="1385">
        <v>0</v>
      </c>
      <c r="M66" s="1418">
        <v>0</v>
      </c>
      <c r="N66" s="1418">
        <v>0</v>
      </c>
      <c r="O66" s="1418">
        <v>0</v>
      </c>
      <c r="P66" s="1384">
        <v>0</v>
      </c>
      <c r="Q66" s="400">
        <v>3</v>
      </c>
      <c r="R66" s="400">
        <v>3</v>
      </c>
      <c r="S66" s="637">
        <v>12</v>
      </c>
      <c r="T66" s="1211">
        <v>31</v>
      </c>
      <c r="U66" s="1211">
        <v>0</v>
      </c>
      <c r="V66" s="1211">
        <v>0</v>
      </c>
      <c r="W66" s="1211">
        <v>0</v>
      </c>
      <c r="X66" s="1211">
        <v>0</v>
      </c>
      <c r="Y66" s="1211">
        <v>0</v>
      </c>
      <c r="Z66" s="1211">
        <v>0</v>
      </c>
      <c r="AA66" s="1211">
        <v>0</v>
      </c>
      <c r="AB66" s="1211">
        <v>0</v>
      </c>
      <c r="AC66" s="1211">
        <v>0</v>
      </c>
      <c r="AD66" s="1211">
        <v>24</v>
      </c>
      <c r="AE66" s="1211">
        <v>0</v>
      </c>
      <c r="AF66" s="1211">
        <v>24</v>
      </c>
      <c r="AG66" s="1211">
        <v>24</v>
      </c>
      <c r="AH66" s="1211">
        <v>11</v>
      </c>
      <c r="AI66" s="1211">
        <v>3</v>
      </c>
      <c r="AJ66" s="1211">
        <v>11</v>
      </c>
      <c r="AK66" s="1211">
        <v>0</v>
      </c>
      <c r="AL66" s="1211">
        <v>4</v>
      </c>
      <c r="AM66" s="1211">
        <v>115</v>
      </c>
      <c r="AN66" s="567">
        <v>10</v>
      </c>
      <c r="AO66" s="567">
        <v>10</v>
      </c>
      <c r="AP66" s="567">
        <v>10</v>
      </c>
      <c r="AQ66" s="567">
        <v>10</v>
      </c>
      <c r="AR66" s="567">
        <v>10</v>
      </c>
      <c r="AS66" s="1211">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D6725C-DFFC-D65C-5013-C254DBC306D5}" mc:Ignorable="x14ac xr xr2 xr3">
  <sheetPr>
    <tabColor theme="6" tint="0.4"/>
  </sheetPr>
  <dimension ref="A1:AW72"/>
  <sheetViews>
    <sheetView topLeftCell="A1" showGridLines="0" zoomScale="90" workbookViewId="0">
      <selection activeCell="A1" sqref="A1"/>
    </sheetView>
  </sheetViews>
  <sheetFormatPr defaultColWidth="10.57421875" customHeight="1" defaultRowHeight="14.25"/>
  <cols>
    <col min="1" max="1" style="2774" width="10.57421875" hidden="1"/>
    <col min="2" max="2" style="2774" width="11.00390625" hidden="1" customWidth="1"/>
    <col min="3" max="3" style="2774" width="10.57421875" hidden="1"/>
    <col min="4" max="4" style="2774" width="11.8515625" hidden="1" customWidth="1"/>
    <col min="5" max="5" style="2774" width="10.00390625" hidden="1" customWidth="1"/>
    <col min="6" max="6" style="2774" width="8.7109375" hidden="1" customWidth="1"/>
    <col min="7" max="7" style="2774" width="7.57421875" hidden="1" customWidth="1"/>
    <col min="8" max="8" style="2774" width="11.421875" hidden="1" customWidth="1"/>
    <col min="9" max="9" style="2774" width="12.00390625" hidden="1" customWidth="1"/>
    <col min="10" max="10" style="2774" width="9.8515625" hidden="1" customWidth="1"/>
    <col min="11" max="12" style="2774" width="11.421875" hidden="1" customWidth="1"/>
    <col min="13" max="13" style="2849" width="19.140625" hidden="1" customWidth="1"/>
    <col min="14" max="15" style="3680" width="12.28125" hidden="1" customWidth="1"/>
    <col min="16" max="16" style="3680" width="23.421875" hidden="1" customWidth="1"/>
    <col min="17" max="17" style="3680" width="3.7109375" hidden="1" customWidth="1"/>
    <col min="18" max="20" style="3677" width="3.00390625" customWidth="1"/>
    <col min="21" max="21" style="3681" width="12.00390625" customWidth="1"/>
    <col min="22" max="22" style="2774" width="31.00390625" customWidth="1"/>
    <col min="23" max="23" style="2774" width="0.140625" customWidth="1"/>
    <col min="24" max="28" style="2774" width="21.7109375" hidden="1" customWidth="1"/>
    <col min="29" max="29" style="2774" width="11.7109375" hidden="1" customWidth="1"/>
    <col min="30" max="30" style="2774" width="3.7109375" hidden="1" customWidth="1"/>
    <col min="31" max="31" style="2774" width="11.7109375" hidden="1" customWidth="1"/>
    <col min="32" max="32" style="2774" width="8.57421875" hidden="1" customWidth="1"/>
    <col min="33" max="33" style="2774" width="21.7109375" customWidth="1"/>
    <col min="34" max="37" style="2774" width="21.00390625" customWidth="1"/>
    <col min="38" max="38" style="2774" width="11.00390625" customWidth="1"/>
    <col min="39" max="39" style="2774" width="3.7109375" customWidth="1"/>
    <col min="40" max="40" style="2774" width="11.00390625" customWidth="1"/>
    <col min="41" max="41" style="2774" width="8.57421875" hidden="1" customWidth="1"/>
    <col min="42" max="42" style="2774" width="4.00390625" customWidth="1"/>
    <col min="43" max="43" style="2774" width="115.00390625" customWidth="1"/>
    <col min="44" max="48" style="2851" width="10.00390625" customWidth="1"/>
    <col min="49" max="49" style="2774" width="10.57421875" hidden="1"/>
  </cols>
  <sheetData>
    <row customHeight="1" ht="22.5" hidden="1">
      <c r="AB1" s="383"/>
      <c r="AC1" s="383"/>
      <c r="AK1" s="383"/>
      <c r="AL1" s="383"/>
      <c r="AW1" s="1211" t="s">
        <v>14</v>
      </c>
    </row>
    <row customHeight="1" ht="21" hidden="1">
      <c r="A2" s="1323"/>
      <c r="B2" s="1323"/>
      <c r="C2" s="1323"/>
      <c r="D2" s="1323"/>
      <c r="E2" s="2345">
        <v>1</v>
      </c>
      <c r="F2" s="1323"/>
      <c r="G2" s="1323"/>
      <c r="H2" s="1323"/>
      <c r="I2" s="1323"/>
      <c r="J2" s="1323"/>
      <c r="K2" s="1323"/>
      <c r="L2" s="1323"/>
      <c r="M2" s="1366"/>
      <c r="N2" s="744"/>
      <c r="O2" s="744"/>
      <c r="P2" s="744"/>
      <c r="Q2" s="417"/>
      <c r="R2" s="416"/>
      <c r="S2" s="416"/>
      <c r="T2" s="411"/>
      <c r="U2" s="1392">
        <f>INDEX(PT_DIFFERENTIATION_NUM_NTAR,MATCH(A2,PT_DIFFERENTIATION_NTAR_ID,0))</f>
      </c>
      <c r="V2" s="354" t="s">
        <v>202</v>
      </c>
      <c r="W2" s="356"/>
      <c r="X2" s="2298"/>
      <c r="Y2" s="2299"/>
      <c r="Z2" s="2299"/>
      <c r="AA2" s="2299"/>
      <c r="AB2" s="2299"/>
      <c r="AC2" s="2299"/>
      <c r="AD2" s="2299"/>
      <c r="AE2" s="2299"/>
      <c r="AF2" s="2300"/>
      <c r="AG2" s="2298">
        <f>INDEX(PT_DIFFERENTIATION_NTAR,MATCH(A2,PT_DIFFERENTIATION_NTAR_ID,0))</f>
      </c>
      <c r="AH2" s="2299"/>
      <c r="AI2" s="2299"/>
      <c r="AJ2" s="2299"/>
      <c r="AK2" s="2299"/>
      <c r="AL2" s="2299"/>
      <c r="AM2" s="2299"/>
      <c r="AN2" s="2299"/>
      <c r="AO2" s="2299"/>
      <c r="AP2" s="2300"/>
      <c r="AQ2" s="1314" t="s">
        <v>528</v>
      </c>
      <c r="AS2" s="556"/>
      <c r="AT2" s="556" t="str">
        <f>IF(V2="","",V2)</f>
        <v>Наименование тарифа</v>
      </c>
      <c r="AU2" s="556"/>
      <c r="AV2" s="556"/>
      <c r="AW2" s="1211">
        <v>0</v>
      </c>
    </row>
    <row customHeight="1" ht="21" hidden="1">
      <c r="A3" s="1323"/>
      <c r="B3" s="1323"/>
      <c r="C3" s="1323"/>
      <c r="D3" s="1323"/>
      <c r="E3" s="2346"/>
      <c r="F3" s="2345">
        <v>1</v>
      </c>
      <c r="G3" s="1323"/>
      <c r="H3" s="1323"/>
      <c r="I3" s="1323"/>
      <c r="J3" s="1323"/>
      <c r="K3" s="1323"/>
      <c r="L3" s="1323"/>
      <c r="M3" s="1366"/>
      <c r="N3" s="744"/>
      <c r="O3" s="744"/>
      <c r="P3" s="744"/>
      <c r="Q3" s="1388"/>
      <c r="R3" s="408"/>
      <c r="S3" s="565"/>
      <c r="T3" s="409"/>
      <c r="U3" s="1392">
        <f>INDEX(PT_DIFFERENTIATION_NUM_TER,MATCH(B3,PT_DIFFERENTIATION_TER_ID,0))</f>
      </c>
      <c r="V3" s="364" t="s">
        <v>529</v>
      </c>
      <c r="W3" s="356"/>
      <c r="X3" s="2298"/>
      <c r="Y3" s="2299"/>
      <c r="Z3" s="2299"/>
      <c r="AA3" s="2299"/>
      <c r="AB3" s="2299"/>
      <c r="AC3" s="2299"/>
      <c r="AD3" s="2299"/>
      <c r="AE3" s="2299"/>
      <c r="AF3" s="2300"/>
      <c r="AG3" s="2298">
        <f>INDEX(PT_DIFFERENTIATION_TER,MATCH(B3,PT_DIFFERENTIATION_TER_ID,0))</f>
      </c>
      <c r="AH3" s="2299"/>
      <c r="AI3" s="2299"/>
      <c r="AJ3" s="2299"/>
      <c r="AK3" s="2299"/>
      <c r="AL3" s="2299"/>
      <c r="AM3" s="2299"/>
      <c r="AN3" s="2299"/>
      <c r="AO3" s="2299"/>
      <c r="AP3" s="2300"/>
      <c r="AQ3" s="1314" t="s">
        <v>530</v>
      </c>
      <c r="AS3" s="556"/>
      <c r="AT3" s="556" t="str">
        <f>IF(V3="","",V3)</f>
        <v>Территория действия тарифа</v>
      </c>
      <c r="AU3" s="556"/>
      <c r="AV3" s="556"/>
      <c r="AW3" s="1211">
        <v>0</v>
      </c>
    </row>
    <row customHeight="1" ht="22.5" hidden="1">
      <c r="A4" s="1323"/>
      <c r="B4" s="1323"/>
      <c r="C4" s="1323"/>
      <c r="D4" s="1323"/>
      <c r="E4" s="2346"/>
      <c r="F4" s="2346"/>
      <c r="G4" s="2345">
        <v>1</v>
      </c>
      <c r="H4" s="1323"/>
      <c r="I4" s="1323"/>
      <c r="J4" s="1323"/>
      <c r="K4" s="1323"/>
      <c r="L4" s="1323"/>
      <c r="M4" s="1366"/>
      <c r="N4" s="744"/>
      <c r="O4" s="744"/>
      <c r="P4" s="744"/>
      <c r="Q4" s="410"/>
      <c r="R4" s="408"/>
      <c r="S4" s="565"/>
      <c r="T4" s="409"/>
      <c r="U4" s="1392">
        <f>INDEX(PT_DIFFERENTIATION_NUM_CS,MATCH(C4,PT_DIFFERENTIATION_CS_ID,0))</f>
      </c>
      <c r="V4" s="365" t="s">
        <v>531</v>
      </c>
      <c r="W4" s="356"/>
      <c r="X4" s="2298"/>
      <c r="Y4" s="2299"/>
      <c r="Z4" s="2299"/>
      <c r="AA4" s="2299"/>
      <c r="AB4" s="2299"/>
      <c r="AC4" s="2299"/>
      <c r="AD4" s="2299"/>
      <c r="AE4" s="2299"/>
      <c r="AF4" s="2300"/>
      <c r="AG4" s="2298">
        <f>INDEX(PT_DIFFERENTIATION_CS,MATCH(C4,PT_DIFFERENTIATION_CS_ID,0))</f>
      </c>
      <c r="AH4" s="2299"/>
      <c r="AI4" s="2299"/>
      <c r="AJ4" s="2299"/>
      <c r="AK4" s="2299"/>
      <c r="AL4" s="2299"/>
      <c r="AM4" s="2299"/>
      <c r="AN4" s="2299"/>
      <c r="AO4" s="2299"/>
      <c r="AP4" s="2300"/>
      <c r="AQ4" s="1314" t="s">
        <v>532</v>
      </c>
      <c r="AS4" s="556"/>
      <c r="AT4" s="556" t="str">
        <f>IF(V4="","",V4)</f>
        <v>Наименование системы теплоснабжения </v>
      </c>
      <c r="AU4" s="556"/>
      <c r="AV4" s="556"/>
      <c r="AW4" s="1211">
        <v>0</v>
      </c>
    </row>
    <row customHeight="1" ht="21" hidden="1">
      <c r="A5" s="1323"/>
      <c r="B5" s="1323"/>
      <c r="C5" s="1323"/>
      <c r="D5" s="1323"/>
      <c r="E5" s="2346"/>
      <c r="F5" s="2346"/>
      <c r="G5" s="2346"/>
      <c r="H5" s="2345">
        <v>1</v>
      </c>
      <c r="I5" s="1323"/>
      <c r="J5" s="1323"/>
      <c r="K5" s="1323"/>
      <c r="L5" s="1323"/>
      <c r="M5" s="1366"/>
      <c r="N5" s="744"/>
      <c r="O5" s="744"/>
      <c r="P5" s="744"/>
      <c r="Q5" s="410"/>
      <c r="R5" s="408"/>
      <c r="S5" s="565"/>
      <c r="T5" s="409"/>
      <c r="U5" s="1392">
        <f>INDEX(PT_DIFFERENTIATION_NUM_IST_TE,MATCH(D5,PT_DIFFERENTIATION_IST_TE_ID,0))</f>
      </c>
      <c r="V5" s="366" t="s">
        <v>533</v>
      </c>
      <c r="W5" s="356"/>
      <c r="X5" s="2298"/>
      <c r="Y5" s="2299"/>
      <c r="Z5" s="2299"/>
      <c r="AA5" s="2299"/>
      <c r="AB5" s="2299"/>
      <c r="AC5" s="2299"/>
      <c r="AD5" s="2299"/>
      <c r="AE5" s="2299"/>
      <c r="AF5" s="2300"/>
      <c r="AG5" s="2298">
        <f>INDEX(PT_DIFFERENTIATION_IST_TE,MATCH(D5,PT_DIFFERENTIATION_IST_TE_ID,0))</f>
      </c>
      <c r="AH5" s="2299"/>
      <c r="AI5" s="2299"/>
      <c r="AJ5" s="2299"/>
      <c r="AK5" s="2299"/>
      <c r="AL5" s="2299"/>
      <c r="AM5" s="2299"/>
      <c r="AN5" s="2299"/>
      <c r="AO5" s="2299"/>
      <c r="AP5" s="2300"/>
      <c r="AQ5" s="1314" t="s">
        <v>534</v>
      </c>
      <c r="AS5" s="556"/>
      <c r="AT5" s="556" t="str">
        <f>IF(V5="","",V5)</f>
        <v>Источник тепловой энергии  </v>
      </c>
      <c r="AU5" s="556"/>
      <c r="AV5" s="556"/>
      <c r="AW5" s="1211">
        <v>0</v>
      </c>
    </row>
    <row customHeight="1" ht="14.25" hidden="1">
      <c r="A6" s="1323"/>
      <c r="B6" s="1323"/>
      <c r="C6" s="1323"/>
      <c r="D6" s="1323"/>
      <c r="E6" s="2346"/>
      <c r="F6" s="2346"/>
      <c r="G6" s="2346"/>
      <c r="H6" s="2346"/>
      <c r="I6" s="2183">
        <f>U5&amp;".1"</f>
      </c>
      <c r="J6" s="1323"/>
      <c r="K6" s="1323"/>
      <c r="L6" s="1323"/>
      <c r="M6" s="1366" t="s">
        <v>535</v>
      </c>
      <c r="N6" s="565"/>
      <c r="Q6" s="2313">
        <v>1</v>
      </c>
      <c r="R6" s="1387"/>
      <c r="S6" s="1387"/>
      <c r="T6" s="412"/>
      <c r="U6" s="1098"/>
      <c r="V6" s="1439"/>
      <c r="W6" s="1440"/>
      <c r="X6" s="2352"/>
      <c r="Y6" s="2353"/>
      <c r="Z6" s="2353"/>
      <c r="AA6" s="2353"/>
      <c r="AB6" s="2353"/>
      <c r="AC6" s="2353"/>
      <c r="AD6" s="2353"/>
      <c r="AE6" s="2353"/>
      <c r="AF6" s="2354"/>
      <c r="AG6" s="2352"/>
      <c r="AH6" s="2353"/>
      <c r="AI6" s="2353"/>
      <c r="AJ6" s="2353"/>
      <c r="AK6" s="2353"/>
      <c r="AL6" s="2353"/>
      <c r="AM6" s="2353"/>
      <c r="AN6" s="2353"/>
      <c r="AO6" s="2353"/>
      <c r="AP6" s="2354"/>
      <c r="AQ6" s="1441"/>
      <c r="AS6" s="556"/>
      <c r="AT6" s="556" t="str">
        <f>IF(V6="","",V6)</f>
        <v/>
      </c>
      <c r="AU6" s="556"/>
      <c r="AV6" s="556"/>
      <c r="AW6" s="1211">
        <v>0</v>
      </c>
    </row>
    <row customHeight="1" ht="21" hidden="1">
      <c r="A7" s="1323"/>
      <c r="B7" s="1323"/>
      <c r="C7" s="1323"/>
      <c r="D7" s="1323"/>
      <c r="E7" s="2346"/>
      <c r="F7" s="2346"/>
      <c r="G7" s="2346"/>
      <c r="H7" s="2346"/>
      <c r="I7" s="2157"/>
      <c r="J7" s="2183">
        <f>I6&amp;".1"</f>
      </c>
      <c r="K7" s="1323"/>
      <c r="L7" s="1323"/>
      <c r="M7" s="1366" t="s">
        <v>538</v>
      </c>
      <c r="N7" s="565"/>
      <c r="O7" s="383"/>
      <c r="Q7" s="2313"/>
      <c r="R7" s="2313">
        <v>1</v>
      </c>
      <c r="S7" s="574"/>
      <c r="T7" s="413"/>
      <c r="U7" s="1392">
        <f>$J7</f>
      </c>
      <c r="V7" s="342" t="s">
        <v>539</v>
      </c>
      <c r="W7" s="356"/>
      <c r="X7" s="2301"/>
      <c r="Y7" s="2302"/>
      <c r="Z7" s="2302"/>
      <c r="AA7" s="2302"/>
      <c r="AB7" s="2302"/>
      <c r="AC7" s="2291"/>
      <c r="AD7" s="2291"/>
      <c r="AE7" s="2291"/>
      <c r="AF7" s="2364"/>
      <c r="AG7" s="2301"/>
      <c r="AH7" s="2302"/>
      <c r="AI7" s="2302"/>
      <c r="AJ7" s="2302"/>
      <c r="AK7" s="2302"/>
      <c r="AL7" s="2302"/>
      <c r="AM7" s="2302"/>
      <c r="AN7" s="2302"/>
      <c r="AO7" s="2302"/>
      <c r="AP7" s="2303"/>
      <c r="AQ7" s="1314" t="s">
        <v>540</v>
      </c>
      <c r="AS7" s="556"/>
      <c r="AT7" s="556" t="str">
        <f>IF(V7="","",V7)</f>
        <v>Группа потребителей</v>
      </c>
      <c r="AU7" s="556"/>
      <c r="AV7" s="556"/>
      <c r="AW7" s="1211">
        <v>0</v>
      </c>
    </row>
    <row customHeight="1" ht="21" hidden="1">
      <c r="A8" s="1323"/>
      <c r="B8" s="1323"/>
      <c r="C8" s="1323"/>
      <c r="D8" s="1323"/>
      <c r="E8" s="2346"/>
      <c r="F8" s="2346"/>
      <c r="G8" s="2346"/>
      <c r="H8" s="2346"/>
      <c r="I8" s="2157"/>
      <c r="J8" s="2157"/>
      <c r="K8" s="2183">
        <f>J7&amp;".1"</f>
      </c>
      <c r="L8" s="195"/>
      <c r="M8" s="1366" t="s">
        <v>541</v>
      </c>
      <c r="N8" s="565"/>
      <c r="O8" s="383"/>
      <c r="P8" s="383"/>
      <c r="Q8" s="2313"/>
      <c r="R8" s="2313"/>
      <c r="S8" s="2313">
        <v>1</v>
      </c>
      <c r="T8" s="413"/>
      <c r="U8" s="1392">
        <f>$K8</f>
      </c>
      <c r="V8" s="1403"/>
      <c r="W8" s="356"/>
      <c r="X8" s="807"/>
      <c r="Y8" s="807"/>
      <c r="Z8" s="807"/>
      <c r="AA8" s="807"/>
      <c r="AB8" s="1461"/>
      <c r="AC8" s="2321"/>
      <c r="AD8" s="2163" t="s">
        <v>65</v>
      </c>
      <c r="AE8" s="2321"/>
      <c r="AF8" s="2163" t="s">
        <v>65</v>
      </c>
      <c r="AG8" s="1463"/>
      <c r="AH8" s="807"/>
      <c r="AI8" s="807"/>
      <c r="AJ8" s="807"/>
      <c r="AK8" s="1313"/>
      <c r="AL8" s="2321"/>
      <c r="AM8" s="2163" t="s">
        <v>65</v>
      </c>
      <c r="AN8" s="2321"/>
      <c r="AO8" s="2163" t="s">
        <v>65</v>
      </c>
      <c r="AP8" s="381"/>
      <c r="AQ8" s="1363" t="s">
        <v>581</v>
      </c>
      <c r="AR8" s="567">
        <f>STRCHECKDATE(X10:AP10)</f>
      </c>
      <c r="AS8" s="556"/>
      <c r="AT8" s="556" t="str">
        <f>IF(V8="","",V8)</f>
        <v/>
      </c>
      <c r="AU8" s="556"/>
      <c r="AV8" s="556"/>
      <c r="AW8" s="1211">
        <v>0</v>
      </c>
    </row>
    <row customHeight="1" ht="21" hidden="1">
      <c r="A9" s="1323"/>
      <c r="B9" s="1323"/>
      <c r="C9" s="1323"/>
      <c r="D9" s="1323"/>
      <c r="E9" s="2346"/>
      <c r="F9" s="2346"/>
      <c r="G9" s="2346"/>
      <c r="H9" s="2346"/>
      <c r="I9" s="2157"/>
      <c r="J9" s="2157"/>
      <c r="K9" s="2157"/>
      <c r="L9" s="2183">
        <f>K8&amp;".1"</f>
      </c>
      <c r="M9" s="1366"/>
      <c r="N9" s="565"/>
      <c r="O9" s="383"/>
      <c r="P9" s="383"/>
      <c r="Q9" s="2313"/>
      <c r="R9" s="2313"/>
      <c r="S9" s="2313"/>
      <c r="T9" s="413"/>
      <c r="U9" s="1392">
        <f>$L9</f>
      </c>
      <c r="V9" s="1447"/>
      <c r="W9" s="356"/>
      <c r="X9" s="381"/>
      <c r="Y9" s="807"/>
      <c r="Z9" s="807"/>
      <c r="AA9" s="807"/>
      <c r="AB9" s="1461"/>
      <c r="AC9" s="2365"/>
      <c r="AD9" s="2163"/>
      <c r="AE9" s="2365"/>
      <c r="AF9" s="2163"/>
      <c r="AG9" s="1463"/>
      <c r="AH9" s="807"/>
      <c r="AI9" s="807"/>
      <c r="AJ9" s="807"/>
      <c r="AK9" s="1313"/>
      <c r="AL9" s="2365"/>
      <c r="AM9" s="2163"/>
      <c r="AN9" s="2365"/>
      <c r="AO9" s="2163"/>
      <c r="AP9" s="381"/>
      <c r="AQ9" s="2309" t="s">
        <v>582</v>
      </c>
      <c r="AS9" s="556"/>
      <c r="AT9" s="556"/>
      <c r="AU9" s="556"/>
      <c r="AV9" s="556"/>
      <c r="AW9" s="1211">
        <v>0</v>
      </c>
    </row>
    <row customHeight="1" ht="14.25" hidden="1">
      <c r="A10" s="1323"/>
      <c r="B10" s="1323"/>
      <c r="C10" s="1323"/>
      <c r="D10" s="1323"/>
      <c r="E10" s="2346"/>
      <c r="F10" s="2346"/>
      <c r="G10" s="2346"/>
      <c r="H10" s="2346"/>
      <c r="I10" s="2157"/>
      <c r="J10" s="2157"/>
      <c r="K10" s="2157"/>
      <c r="L10" s="2183"/>
      <c r="M10" s="1366"/>
      <c r="N10" s="565"/>
      <c r="O10" s="383"/>
      <c r="P10" s="383"/>
      <c r="Q10" s="2313"/>
      <c r="R10" s="2313"/>
      <c r="S10" s="2313"/>
      <c r="T10" s="413"/>
      <c r="U10" s="1398"/>
      <c r="V10" s="356"/>
      <c r="W10" s="356"/>
      <c r="X10" s="381"/>
      <c r="Y10" s="381"/>
      <c r="Z10" s="381"/>
      <c r="AA10" s="381"/>
      <c r="AB10" s="1462" t="str">
        <f>AC8&amp;"-"&amp;AE8</f>
        <v>-</v>
      </c>
      <c r="AC10" s="2365"/>
      <c r="AD10" s="2163"/>
      <c r="AE10" s="2365"/>
      <c r="AF10" s="2163"/>
      <c r="AG10" s="1438"/>
      <c r="AH10" s="381"/>
      <c r="AI10" s="381"/>
      <c r="AJ10" s="381"/>
      <c r="AK10" s="384" t="str">
        <f>AL8&amp;"-"&amp;AN8</f>
        <v>-</v>
      </c>
      <c r="AL10" s="2365"/>
      <c r="AM10" s="2163"/>
      <c r="AN10" s="2365"/>
      <c r="AO10" s="2163"/>
      <c r="AP10" s="381"/>
      <c r="AQ10" s="2310"/>
      <c r="AS10" s="556"/>
      <c r="AT10" s="556" t="str">
        <f>IF(V10="","",V10)</f>
        <v/>
      </c>
      <c r="AU10" s="556"/>
      <c r="AV10" s="556"/>
      <c r="AW10" s="1211">
        <v>0</v>
      </c>
    </row>
    <row customHeight="1" ht="11.25" hidden="1">
      <c r="A11" s="1323"/>
      <c r="B11" s="1323"/>
      <c r="C11" s="1323"/>
      <c r="D11" s="1323"/>
      <c r="E11" s="2346"/>
      <c r="F11" s="2346"/>
      <c r="G11" s="2346"/>
      <c r="H11" s="2346"/>
      <c r="I11" s="2157"/>
      <c r="J11" s="2157"/>
      <c r="K11" s="2183"/>
      <c r="L11" s="1323"/>
      <c r="M11" s="1366"/>
      <c r="N11" s="565"/>
      <c r="O11" s="383"/>
      <c r="P11" s="383"/>
      <c r="Q11" s="2313"/>
      <c r="R11" s="2313"/>
      <c r="S11" s="2313"/>
      <c r="T11" s="413"/>
      <c r="U11" s="1334"/>
      <c r="V11" s="344" t="s">
        <v>583</v>
      </c>
      <c r="W11" s="1448"/>
      <c r="X11" s="1449"/>
      <c r="Y11" s="1449"/>
      <c r="Z11" s="1449"/>
      <c r="AA11" s="1449"/>
      <c r="AB11" s="1450"/>
      <c r="AC11" s="2365"/>
      <c r="AD11" s="2163"/>
      <c r="AE11" s="2365"/>
      <c r="AF11" s="2163"/>
      <c r="AG11" s="1449"/>
      <c r="AH11" s="1449"/>
      <c r="AI11" s="1449"/>
      <c r="AJ11" s="1449"/>
      <c r="AK11" s="1450"/>
      <c r="AL11" s="2365"/>
      <c r="AM11" s="2163"/>
      <c r="AN11" s="2365"/>
      <c r="AO11" s="2163"/>
      <c r="AP11" s="1451"/>
      <c r="AQ11" s="2310"/>
      <c r="AS11" s="556"/>
      <c r="AT11" s="556"/>
      <c r="AU11" s="556"/>
      <c r="AV11" s="556"/>
      <c r="AW11" s="1211">
        <v>0</v>
      </c>
    </row>
    <row customHeight="1" ht="15" hidden="1">
      <c r="A12" s="1323"/>
      <c r="B12" s="1323"/>
      <c r="C12" s="1323"/>
      <c r="D12" s="1323"/>
      <c r="E12" s="2346"/>
      <c r="F12" s="2346"/>
      <c r="G12" s="2346"/>
      <c r="H12" s="2346"/>
      <c r="I12" s="2157"/>
      <c r="J12" s="2183"/>
      <c r="K12" s="1323"/>
      <c r="L12" s="1323"/>
      <c r="M12" s="1366"/>
      <c r="N12" s="565"/>
      <c r="O12" s="383"/>
      <c r="Q12" s="2313"/>
      <c r="R12" s="2313"/>
      <c r="S12" s="1387"/>
      <c r="T12" s="412"/>
      <c r="U12" s="1334"/>
      <c r="V12" s="343" t="s">
        <v>543</v>
      </c>
      <c r="W12" s="423"/>
      <c r="X12" s="423"/>
      <c r="Y12" s="423"/>
      <c r="Z12" s="423"/>
      <c r="AA12" s="423"/>
      <c r="AB12" s="423"/>
      <c r="AC12" s="1464"/>
      <c r="AD12" s="1464"/>
      <c r="AE12" s="1464"/>
      <c r="AF12" s="1464"/>
      <c r="AG12" s="423"/>
      <c r="AH12" s="423"/>
      <c r="AI12" s="423"/>
      <c r="AJ12" s="423"/>
      <c r="AK12" s="423"/>
      <c r="AL12" s="423"/>
      <c r="AM12" s="423"/>
      <c r="AN12" s="423"/>
      <c r="AO12" s="423"/>
      <c r="AP12" s="380"/>
      <c r="AQ12" s="2311"/>
      <c r="AS12" s="556"/>
      <c r="AT12" s="556" t="str">
        <f>IF(V12="","",V12)</f>
        <v>Добавить вид теплоносителя (параметры теплоносителя)</v>
      </c>
      <c r="AU12" s="556"/>
      <c r="AV12" s="556"/>
      <c r="AW12" s="1211">
        <v>0</v>
      </c>
    </row>
    <row customHeight="1" ht="11.25" hidden="1">
      <c r="A13" s="1323"/>
      <c r="B13" s="1323"/>
      <c r="C13" s="1323"/>
      <c r="D13" s="1323"/>
      <c r="E13" s="2346"/>
      <c r="F13" s="2346"/>
      <c r="G13" s="2346"/>
      <c r="H13" s="2346"/>
      <c r="I13" s="2183"/>
      <c r="J13" s="1323"/>
      <c r="K13" s="1323"/>
      <c r="L13" s="1323"/>
      <c r="M13" s="1366"/>
      <c r="N13" s="565"/>
      <c r="Q13" s="2313"/>
      <c r="R13" s="1387"/>
      <c r="S13" s="1387"/>
      <c r="T13" s="412"/>
      <c r="U13" s="1334"/>
      <c r="V13" s="421" t="s">
        <v>544</v>
      </c>
      <c r="W13" s="423"/>
      <c r="X13" s="423"/>
      <c r="Y13" s="423"/>
      <c r="Z13" s="423"/>
      <c r="AA13" s="423"/>
      <c r="AB13" s="423"/>
      <c r="AC13" s="423"/>
      <c r="AD13" s="423"/>
      <c r="AE13" s="423"/>
      <c r="AF13" s="422"/>
      <c r="AG13" s="423"/>
      <c r="AH13" s="423"/>
      <c r="AI13" s="423"/>
      <c r="AJ13" s="423"/>
      <c r="AK13" s="423"/>
      <c r="AL13" s="423"/>
      <c r="AM13" s="423"/>
      <c r="AN13" s="423"/>
      <c r="AO13" s="422"/>
      <c r="AP13" s="423"/>
      <c r="AQ13" s="359"/>
      <c r="AS13" s="556"/>
      <c r="AT13" s="556" t="str">
        <f>IF(V13="","",V13)</f>
        <v>Добавить группу потребителей</v>
      </c>
      <c r="AU13" s="556"/>
      <c r="AV13" s="556"/>
      <c r="AW13" s="1211">
        <v>0</v>
      </c>
    </row>
    <row customHeight="1" ht="14.25" hidden="1">
      <c r="A14" s="1323"/>
      <c r="B14" s="1323"/>
      <c r="C14" s="1323"/>
      <c r="D14" s="1323"/>
      <c r="E14" s="2346"/>
      <c r="F14" s="2346"/>
      <c r="G14" s="2346"/>
      <c r="H14" s="2345"/>
      <c r="I14" s="1323"/>
      <c r="J14" s="1323"/>
      <c r="K14" s="1323"/>
      <c r="L14" s="1323"/>
      <c r="M14" s="1366"/>
      <c r="N14" s="744"/>
      <c r="O14" s="744"/>
      <c r="P14" s="565"/>
      <c r="Q14" s="416"/>
      <c r="R14" s="431"/>
      <c r="S14" s="411"/>
      <c r="T14" s="416"/>
      <c r="U14" s="1442"/>
      <c r="V14" s="1443"/>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5"/>
      <c r="AS14" s="556"/>
      <c r="AT14" s="556" t="str">
        <f>IF(V14="","",V14)</f>
        <v/>
      </c>
      <c r="AU14" s="556"/>
      <c r="AV14" s="556"/>
      <c r="AW14" s="1211">
        <v>0</v>
      </c>
    </row>
    <row s="2851" customFormat="1" customHeight="1" ht="14.25" hidden="1">
      <c r="A15" s="1430"/>
      <c r="B15" s="1430"/>
      <c r="C15" s="1430"/>
      <c r="D15" s="1430"/>
      <c r="E15" s="2346"/>
      <c r="F15" s="2346"/>
      <c r="G15" s="2345"/>
      <c r="H15" s="1430"/>
      <c r="I15" s="1430"/>
      <c r="J15" s="1430"/>
      <c r="K15" s="1430"/>
      <c r="L15" s="1430"/>
      <c r="M15" s="1433"/>
      <c r="N15" s="1434"/>
      <c r="O15" s="1434"/>
      <c r="P15" s="407"/>
      <c r="Q15" s="1372"/>
      <c r="R15" s="1373"/>
      <c r="S15" s="1372"/>
      <c r="T15" s="1372"/>
      <c r="U15" s="1374"/>
      <c r="V15" s="1375" t="s">
        <v>546</v>
      </c>
      <c r="W15" s="1376"/>
      <c r="X15" s="1376"/>
      <c r="Y15" s="1376"/>
      <c r="Z15" s="1376"/>
      <c r="AA15" s="1376"/>
      <c r="AB15" s="1376"/>
      <c r="AC15" s="1376"/>
      <c r="AD15" s="1376"/>
      <c r="AE15" s="1376"/>
      <c r="AF15" s="1376"/>
      <c r="AG15" s="1376"/>
      <c r="AH15" s="1376"/>
      <c r="AI15" s="1376"/>
      <c r="AJ15" s="1376"/>
      <c r="AK15" s="1376"/>
      <c r="AL15" s="1376"/>
      <c r="AM15" s="1376"/>
      <c r="AN15" s="1376"/>
      <c r="AO15" s="1376"/>
      <c r="AP15" s="1376"/>
      <c r="AQ15" s="1376"/>
      <c r="AS15" s="845"/>
      <c r="AT15" s="845" t="str">
        <f>IF(V15="","",V15)</f>
        <v>Добавить источник для дифференциации</v>
      </c>
      <c r="AU15" s="845"/>
      <c r="AV15" s="845"/>
      <c r="AW15" s="574">
        <v>0</v>
      </c>
    </row>
    <row s="2851" customFormat="1" customHeight="1" ht="14.25" hidden="1">
      <c r="A16" s="1430"/>
      <c r="B16" s="1430"/>
      <c r="C16" s="1430"/>
      <c r="D16" s="1430"/>
      <c r="E16" s="2346"/>
      <c r="F16" s="2345"/>
      <c r="G16" s="1430"/>
      <c r="H16" s="1430"/>
      <c r="I16" s="1430"/>
      <c r="J16" s="1430"/>
      <c r="K16" s="1430"/>
      <c r="L16" s="1430"/>
      <c r="M16" s="1433"/>
      <c r="N16" s="1435"/>
      <c r="O16" s="1435"/>
      <c r="P16" s="407"/>
      <c r="Q16" s="1372"/>
      <c r="R16" s="1373"/>
      <c r="S16" s="1372"/>
      <c r="T16" s="1372"/>
      <c r="U16" s="1378"/>
      <c r="V16" s="1379" t="s">
        <v>302</v>
      </c>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S16" s="845"/>
      <c r="AT16" s="845" t="str">
        <f>IF(V16="","",V16)</f>
        <v>Добавить централизованную систему для дифференциации</v>
      </c>
      <c r="AU16" s="845"/>
      <c r="AV16" s="845"/>
      <c r="AW16" s="574">
        <v>0</v>
      </c>
    </row>
    <row s="2851" customFormat="1" customHeight="1" ht="14.25" hidden="1">
      <c r="A17" s="1430"/>
      <c r="B17" s="1430"/>
      <c r="C17" s="1430"/>
      <c r="D17" s="1430"/>
      <c r="E17" s="2345"/>
      <c r="F17" s="1430"/>
      <c r="G17" s="1430"/>
      <c r="H17" s="1430"/>
      <c r="I17" s="1430"/>
      <c r="J17" s="1430"/>
      <c r="K17" s="1430"/>
      <c r="L17" s="1430"/>
      <c r="M17" s="1433"/>
      <c r="N17" s="1435"/>
      <c r="O17" s="1435"/>
      <c r="P17" s="407"/>
      <c r="Q17" s="1372"/>
      <c r="R17" s="1373"/>
      <c r="S17" s="1372"/>
      <c r="T17" s="1372"/>
      <c r="U17" s="1378"/>
      <c r="V17" s="1381" t="s">
        <v>359</v>
      </c>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S17" s="845"/>
      <c r="AT17" s="845" t="str">
        <f>IF(V17="","",V17)</f>
        <v>Добавить территорию для дифференциации</v>
      </c>
      <c r="AU17" s="845"/>
      <c r="AV17" s="845"/>
      <c r="AW17" s="574">
        <v>0</v>
      </c>
    </row>
    <row customHeight="1" ht="14.25" hidden="1">
      <c r="AF18" s="383"/>
      <c r="AO18" s="383"/>
      <c r="AW18" s="1211">
        <v>0</v>
      </c>
    </row>
    <row customHeight="1" ht="14.25" hidden="1">
      <c r="AG19" s="1416"/>
      <c r="AH19" s="1416"/>
      <c r="AI19" s="1416"/>
      <c r="AJ19" s="1416"/>
      <c r="AK19" s="1417"/>
      <c r="AL19" s="2323"/>
      <c r="AM19" s="2324" t="s">
        <v>65</v>
      </c>
      <c r="AN19" s="2323"/>
      <c r="AO19" s="2324" t="s">
        <v>65</v>
      </c>
      <c r="AW19" s="1211">
        <v>0</v>
      </c>
    </row>
    <row customHeight="1" ht="14.25" hidden="1">
      <c r="AG20" s="1416"/>
      <c r="AH20" s="1416"/>
      <c r="AI20" s="1416"/>
      <c r="AJ20" s="1416"/>
      <c r="AK20" s="1417"/>
      <c r="AL20" s="2323"/>
      <c r="AM20" s="2324"/>
      <c r="AN20" s="2323"/>
      <c r="AO20" s="2324"/>
      <c r="AW20" s="1211">
        <v>0</v>
      </c>
    </row>
    <row customHeight="1" ht="14.25" hidden="1">
      <c r="AG21" s="1416"/>
      <c r="AH21" s="1416"/>
      <c r="AI21" s="1416"/>
      <c r="AJ21" s="1416"/>
      <c r="AK21" s="1417"/>
      <c r="AL21" s="2323"/>
      <c r="AM21" s="2324"/>
      <c r="AN21" s="2323"/>
      <c r="AO21" s="2324"/>
      <c r="AW21" s="1211">
        <v>0</v>
      </c>
    </row>
    <row customHeight="1" ht="14.25" hidden="1">
      <c r="AG22" s="1416"/>
      <c r="AH22" s="1416"/>
      <c r="AI22" s="1416"/>
      <c r="AJ22" s="1416"/>
      <c r="AK22" s="384" t="str">
        <f>AL19&amp;"-"&amp;AN19</f>
        <v>-</v>
      </c>
      <c r="AL22" s="2324"/>
      <c r="AM22" s="2324"/>
      <c r="AN22" s="2324"/>
      <c r="AO22" s="2324"/>
      <c r="AW22" s="1211">
        <v>0</v>
      </c>
    </row>
    <row customHeight="1" ht="14.25" hidden="1">
      <c r="AO23" s="383"/>
      <c r="AW23" s="1211">
        <v>0</v>
      </c>
    </row>
    <row s="2850" customFormat="1" customHeight="1" ht="22.5" hidden="1">
      <c r="A24" s="1211"/>
      <c r="B24" s="1211"/>
      <c r="C24" s="1211"/>
      <c r="D24" s="1211"/>
      <c r="E24" s="1211"/>
      <c r="F24" s="1211"/>
      <c r="G24" s="1211"/>
      <c r="H24" s="1211"/>
      <c r="I24" s="1211"/>
      <c r="J24" s="1211"/>
      <c r="K24" s="1211"/>
      <c r="L24" s="1211"/>
      <c r="M24" s="1383"/>
      <c r="N24" s="1384"/>
      <c r="O24" s="1384"/>
      <c r="P24" s="1401" t="s">
        <v>547</v>
      </c>
      <c r="Q24" s="1418"/>
      <c r="R24" s="1427"/>
      <c r="S24" s="1427"/>
      <c r="T24" s="1427"/>
      <c r="U24" s="785"/>
      <c r="AC24" s="1423"/>
      <c r="AE24" s="1423"/>
      <c r="AF24" s="1422"/>
      <c r="AL24" s="1423"/>
      <c r="AN24" s="1423"/>
      <c r="AO24" s="1422"/>
      <c r="AR24" s="567"/>
      <c r="AS24" s="567"/>
      <c r="AT24" s="567"/>
      <c r="AU24" s="567"/>
      <c r="AV24" s="567"/>
      <c r="AW24" s="1216">
        <v>0</v>
      </c>
    </row>
    <row s="2850" customFormat="1" customHeight="1" ht="14.25" hidden="1">
      <c r="A25" s="1211"/>
      <c r="B25" s="1211"/>
      <c r="C25" s="1211"/>
      <c r="D25" s="1211"/>
      <c r="E25" s="1211"/>
      <c r="F25" s="1211"/>
      <c r="G25" s="1211"/>
      <c r="H25" s="1211"/>
      <c r="I25" s="1211"/>
      <c r="J25" s="1211"/>
      <c r="K25" s="1211"/>
      <c r="L25" s="1211"/>
      <c r="M25" s="1383"/>
      <c r="N25" s="1384"/>
      <c r="O25" s="1384"/>
      <c r="P25" s="1384"/>
      <c r="Q25" s="1418"/>
      <c r="R25" s="1427"/>
      <c r="S25" s="1427"/>
      <c r="T25" s="1427"/>
      <c r="U25" s="785"/>
      <c r="AF25" s="1422"/>
      <c r="AO25" s="1422"/>
      <c r="AR25" s="567"/>
      <c r="AS25" s="567"/>
      <c r="AT25" s="567"/>
      <c r="AU25" s="567"/>
      <c r="AV25" s="567"/>
      <c r="AW25" s="1216">
        <v>0</v>
      </c>
    </row>
    <row s="2850" customFormat="1" customHeight="1" ht="14.25" hidden="1">
      <c r="A26" s="1211"/>
      <c r="B26" s="1211"/>
      <c r="C26" s="1211"/>
      <c r="D26" s="1211"/>
      <c r="E26" s="1211"/>
      <c r="F26" s="1211"/>
      <c r="G26" s="1211"/>
      <c r="H26" s="1211"/>
      <c r="I26" s="1211"/>
      <c r="J26" s="1211"/>
      <c r="K26" s="1211"/>
      <c r="L26" s="1211"/>
      <c r="M26" s="1383"/>
      <c r="N26" s="1384"/>
      <c r="O26" s="1384"/>
      <c r="P26" s="1366" t="s">
        <v>548</v>
      </c>
      <c r="Q26" s="1418"/>
      <c r="R26" s="1427"/>
      <c r="S26" s="1427"/>
      <c r="T26" s="1427"/>
      <c r="U26" s="785"/>
      <c r="V26" s="1216" t="s">
        <v>549</v>
      </c>
      <c r="AD26" s="242" t="s">
        <v>550</v>
      </c>
      <c r="AF26" s="242" t="s">
        <v>551</v>
      </c>
      <c r="AG26" s="1216" t="s">
        <v>549</v>
      </c>
      <c r="AM26" s="242" t="s">
        <v>552</v>
      </c>
      <c r="AO26" s="242" t="s">
        <v>551</v>
      </c>
      <c r="AR26" s="567"/>
      <c r="AS26" s="567"/>
      <c r="AT26" s="567"/>
      <c r="AU26" s="567"/>
      <c r="AV26" s="567"/>
      <c r="AW26" s="1216">
        <v>0</v>
      </c>
    </row>
    <row customHeight="1" ht="14.25" hidden="1">
      <c r="P27" s="1366"/>
      <c r="AW27" s="1211">
        <v>0</v>
      </c>
    </row>
    <row customHeight="1" ht="14.25" hidden="1">
      <c r="P28" s="1366"/>
      <c r="AW28" s="1211">
        <v>0</v>
      </c>
    </row>
    <row customHeight="1" ht="14.699999999999998">
      <c r="R29" s="432"/>
      <c r="S29" s="432"/>
      <c r="T29" s="432"/>
      <c r="U29" s="1331"/>
      <c r="V29" s="419"/>
      <c r="W29" s="419"/>
      <c r="X29" s="565"/>
      <c r="Y29" s="565"/>
      <c r="Z29" s="565"/>
      <c r="AA29" s="565"/>
      <c r="AB29" s="565"/>
      <c r="AC29" s="565"/>
      <c r="AD29" s="565"/>
      <c r="AE29" s="565"/>
      <c r="AF29" s="565"/>
      <c r="AG29" s="565"/>
      <c r="AH29" s="565"/>
      <c r="AI29" s="565"/>
      <c r="AJ29" s="565"/>
      <c r="AK29" s="565"/>
      <c r="AL29" s="565"/>
      <c r="AM29" s="565"/>
      <c r="AN29" s="565"/>
      <c r="AO29" s="565"/>
      <c r="AW29" s="1211">
        <v>14</v>
      </c>
    </row>
    <row customHeight="1" ht="56.699999999999996">
      <c r="R30" s="432"/>
      <c r="S30" s="432"/>
      <c r="T30" s="432"/>
      <c r="U30" s="230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04"/>
      <c r="W30" s="2304"/>
      <c r="X30" s="2304"/>
      <c r="Y30" s="2304"/>
      <c r="Z30" s="2304"/>
      <c r="AA30" s="2304"/>
      <c r="AB30" s="2304"/>
      <c r="AC30" s="2304"/>
      <c r="AD30" s="2304"/>
      <c r="AE30" s="2304"/>
      <c r="AF30" s="2304"/>
      <c r="AG30" s="2304"/>
      <c r="AH30" s="2304"/>
      <c r="AI30" s="2304"/>
      <c r="AJ30" s="2304"/>
      <c r="AK30" s="2304"/>
      <c r="AL30" s="2304"/>
      <c r="AM30" s="2304"/>
      <c r="AN30" s="2304"/>
      <c r="AO30" s="1299"/>
      <c r="AW30" s="1211">
        <v>54</v>
      </c>
    </row>
    <row customHeight="1" ht="14.699999999999998">
      <c r="R31" s="432"/>
      <c r="S31" s="432"/>
      <c r="T31" s="432"/>
      <c r="U31" s="2305" t="str">
        <f>IF(org=0,"Не определено",org)</f>
        <v>МУП ЖКХ "Родник"</v>
      </c>
      <c r="V31" s="2305"/>
      <c r="W31" s="2305"/>
      <c r="X31" s="2305"/>
      <c r="Y31" s="2305"/>
      <c r="Z31" s="2305"/>
      <c r="AA31" s="2305"/>
      <c r="AB31" s="2305"/>
      <c r="AC31" s="2305"/>
      <c r="AD31" s="2305"/>
      <c r="AE31" s="2305"/>
      <c r="AF31" s="2305"/>
      <c r="AG31" s="2305"/>
      <c r="AH31" s="2305"/>
      <c r="AI31" s="2305"/>
      <c r="AJ31" s="2305"/>
      <c r="AK31" s="2305"/>
      <c r="AL31" s="2305"/>
      <c r="AM31" s="2305"/>
      <c r="AN31" s="2305"/>
      <c r="AO31" s="1299"/>
      <c r="AW31" s="1211">
        <v>14</v>
      </c>
    </row>
    <row customHeight="1" ht="14.25">
      <c r="R32" s="432"/>
      <c r="S32" s="432"/>
      <c r="T32" s="432"/>
      <c r="U32" s="1331"/>
      <c r="V32" s="419"/>
      <c r="W32" s="419"/>
      <c r="X32" s="378"/>
      <c r="Y32" s="378"/>
      <c r="Z32" s="378"/>
      <c r="AA32" s="378"/>
      <c r="AB32" s="378"/>
      <c r="AC32" s="378"/>
      <c r="AD32" s="378"/>
      <c r="AE32" s="378"/>
      <c r="AF32" s="378"/>
      <c r="AG32" s="378"/>
      <c r="AH32" s="378"/>
      <c r="AI32" s="378"/>
      <c r="AJ32" s="378"/>
      <c r="AK32" s="378"/>
      <c r="AL32" s="378"/>
      <c r="AM32" s="378"/>
      <c r="AN32" s="378"/>
      <c r="AO32" s="378"/>
      <c r="AP32" s="565"/>
      <c r="AW32" s="1211">
        <v>0</v>
      </c>
    </row>
    <row s="2983" customFormat="1" customHeight="1" ht="25.5">
      <c r="A33" s="1304"/>
      <c r="B33" s="1304"/>
      <c r="C33" s="1304"/>
      <c r="D33" s="1304"/>
      <c r="E33" s="1304"/>
      <c r="F33" s="1304"/>
      <c r="G33" s="1304"/>
      <c r="H33" s="1304"/>
      <c r="I33" s="1304"/>
      <c r="J33" s="1304"/>
      <c r="K33" s="1304"/>
      <c r="L33" s="1304"/>
      <c r="M33" s="1436"/>
      <c r="N33" s="1304"/>
      <c r="O33" s="1304"/>
      <c r="P33" s="1304"/>
      <c r="U33" s="2306" t="s">
        <v>42</v>
      </c>
      <c r="V33" s="2306"/>
      <c r="W33" s="1428"/>
      <c r="X33" s="2307" t="str">
        <f>IF(TITLE_NAME_OR_PR_CHANGE="",IF(TITLE_NAME_OR_PR="","",TITLE_NAME_OR_PR),TITLE_NAME_OR_PR_CHANGE)</f>
        <v>Министерство по тарифам и ценам Курской области</v>
      </c>
      <c r="Y33" s="2307"/>
      <c r="Z33" s="2307"/>
      <c r="AA33" s="2307"/>
      <c r="AB33" s="2307"/>
      <c r="AC33" s="2307"/>
      <c r="AD33" s="2307"/>
      <c r="AE33" s="2307"/>
      <c r="AF33" s="382"/>
      <c r="AG33" s="2307" t="str">
        <f>IF(TITLE_NAME_OR_PR_CHANGE="",IF(TITLE_NAME_OR_PR="","",TITLE_NAME_OR_PR),TITLE_NAME_OR_PR_CHANGE)</f>
        <v>Министерство по тарифам и ценам Курской области</v>
      </c>
      <c r="AH33" s="2307"/>
      <c r="AI33" s="2307"/>
      <c r="AJ33" s="2307"/>
      <c r="AK33" s="2307"/>
      <c r="AL33" s="2307"/>
      <c r="AM33" s="2307"/>
      <c r="AN33" s="2307"/>
      <c r="AO33" s="382"/>
      <c r="AP33" s="382"/>
      <c r="AQ33" s="336"/>
      <c r="AR33" s="424"/>
      <c r="AS33" s="424"/>
      <c r="AT33" s="424"/>
      <c r="AU33" s="424"/>
      <c r="AV33" s="424"/>
      <c r="AW33" s="474">
        <v>0</v>
      </c>
    </row>
    <row s="2983" customFormat="1" customHeight="1" ht="18.75">
      <c r="A34" s="1304"/>
      <c r="B34" s="1304"/>
      <c r="C34" s="1304"/>
      <c r="D34" s="1304"/>
      <c r="E34" s="1304"/>
      <c r="F34" s="1304"/>
      <c r="G34" s="1304"/>
      <c r="H34" s="1304"/>
      <c r="I34" s="1304"/>
      <c r="J34" s="1304"/>
      <c r="K34" s="1304"/>
      <c r="L34" s="1304"/>
      <c r="M34" s="1436"/>
      <c r="N34" s="1304"/>
      <c r="O34" s="1304"/>
      <c r="P34" s="1304"/>
      <c r="U34" s="2306" t="s">
        <v>553</v>
      </c>
      <c r="V34" s="2306"/>
      <c r="W34" s="1428"/>
      <c r="X34" s="2320" t="str">
        <f>IF(TITLE_DATE_PR_CHANGE="",IF(TITLE_DATE_PR="","",TITLE_DATE_PR),TITLE_DATE_PR_CHANGE)</f>
        <v>45645</v>
      </c>
      <c r="Y34" s="2320"/>
      <c r="Z34" s="2320"/>
      <c r="AA34" s="2320"/>
      <c r="AB34" s="2320"/>
      <c r="AC34" s="2320"/>
      <c r="AD34" s="2320"/>
      <c r="AE34" s="2320"/>
      <c r="AF34" s="382"/>
      <c r="AG34" s="2320" t="str">
        <f>IF(TITLE_DATE_PR_CHANGE="",IF(TITLE_DATE_PR="","",TITLE_DATE_PR),TITLE_DATE_PR_CHANGE)</f>
        <v>45645</v>
      </c>
      <c r="AH34" s="2320"/>
      <c r="AI34" s="2320"/>
      <c r="AJ34" s="2320"/>
      <c r="AK34" s="2320"/>
      <c r="AL34" s="2320"/>
      <c r="AM34" s="2320"/>
      <c r="AN34" s="2320"/>
      <c r="AO34" s="382"/>
      <c r="AP34" s="382"/>
      <c r="AQ34" s="336"/>
      <c r="AR34" s="424"/>
      <c r="AS34" s="424"/>
      <c r="AT34" s="424"/>
      <c r="AU34" s="424"/>
      <c r="AV34" s="424"/>
      <c r="AW34" s="474">
        <v>0</v>
      </c>
    </row>
    <row s="2983" customFormat="1" customHeight="1" ht="18.75">
      <c r="A35" s="1304"/>
      <c r="B35" s="1304"/>
      <c r="C35" s="1304"/>
      <c r="D35" s="1304"/>
      <c r="E35" s="1304"/>
      <c r="F35" s="1304"/>
      <c r="G35" s="1304"/>
      <c r="H35" s="1304"/>
      <c r="I35" s="1304"/>
      <c r="J35" s="1304"/>
      <c r="K35" s="1304"/>
      <c r="L35" s="1304"/>
      <c r="M35" s="1436"/>
      <c r="N35" s="1304"/>
      <c r="O35" s="1304"/>
      <c r="P35" s="1304"/>
      <c r="U35" s="2306" t="s">
        <v>554</v>
      </c>
      <c r="V35" s="2306"/>
      <c r="W35" s="1428"/>
      <c r="X35" s="2307" t="str">
        <f>IF(TITLE_NUMBER_PR_CHANGE="",IF(TITLE_NUMBER_PR="","",TITLE_NUMBER_PR),TITLE_NUMBER_PR_CHANGE)</f>
        <v>208-вод</v>
      </c>
      <c r="Y35" s="2307"/>
      <c r="Z35" s="2307"/>
      <c r="AA35" s="2307"/>
      <c r="AB35" s="2307"/>
      <c r="AC35" s="2307"/>
      <c r="AD35" s="2307"/>
      <c r="AE35" s="2307"/>
      <c r="AF35" s="382"/>
      <c r="AG35" s="2307" t="str">
        <f>IF(TITLE_NUMBER_PR_CHANGE="",IF(TITLE_NUMBER_PR="","",TITLE_NUMBER_PR),TITLE_NUMBER_PR_CHANGE)</f>
        <v>208-вод</v>
      </c>
      <c r="AH35" s="2307"/>
      <c r="AI35" s="2307"/>
      <c r="AJ35" s="2307"/>
      <c r="AK35" s="2307"/>
      <c r="AL35" s="2307"/>
      <c r="AM35" s="2307"/>
      <c r="AN35" s="2307"/>
      <c r="AO35" s="382"/>
      <c r="AP35" s="382"/>
      <c r="AQ35" s="336"/>
      <c r="AR35" s="424"/>
      <c r="AS35" s="424"/>
      <c r="AT35" s="424"/>
      <c r="AU35" s="424"/>
      <c r="AV35" s="424"/>
      <c r="AW35" s="474">
        <v>0</v>
      </c>
    </row>
    <row s="2983" customFormat="1" customHeight="1" ht="18.75">
      <c r="A36" s="1304"/>
      <c r="B36" s="1304"/>
      <c r="C36" s="1304"/>
      <c r="D36" s="1304"/>
      <c r="E36" s="1304"/>
      <c r="F36" s="1304"/>
      <c r="G36" s="1304"/>
      <c r="H36" s="1304"/>
      <c r="I36" s="1304"/>
      <c r="J36" s="1304"/>
      <c r="K36" s="1304"/>
      <c r="L36" s="1304"/>
      <c r="M36" s="1436"/>
      <c r="N36" s="1304"/>
      <c r="O36" s="1304"/>
      <c r="P36" s="1304"/>
      <c r="U36" s="2306" t="s">
        <v>44</v>
      </c>
      <c r="V36" s="2306"/>
      <c r="W36" s="1428"/>
      <c r="X36" s="2307" t="str">
        <f>IF(TITLE_IST_PUB_CHANGE="",IF(TITLE_IST_PUB="","",TITLE_IST_PUB),TITLE_IST_PUB_CHANGE)</f>
        <v>Газета "Курская правда" №155 от 26.12.2024 г.</v>
      </c>
      <c r="Y36" s="2307"/>
      <c r="Z36" s="2307"/>
      <c r="AA36" s="2307"/>
      <c r="AB36" s="2307"/>
      <c r="AC36" s="2307"/>
      <c r="AD36" s="2307"/>
      <c r="AE36" s="2307"/>
      <c r="AF36" s="382"/>
      <c r="AG36" s="2307" t="str">
        <f>IF(TITLE_IST_PUB_CHANGE="",IF(TITLE_IST_PUB="","",TITLE_IST_PUB),TITLE_IST_PUB_CHANGE)</f>
        <v>Газета "Курская правда" №155 от 26.12.2024 г.</v>
      </c>
      <c r="AH36" s="2307"/>
      <c r="AI36" s="2307"/>
      <c r="AJ36" s="2307"/>
      <c r="AK36" s="2307"/>
      <c r="AL36" s="2307"/>
      <c r="AM36" s="2307"/>
      <c r="AN36" s="2307"/>
      <c r="AO36" s="382"/>
      <c r="AP36" s="382"/>
      <c r="AQ36" s="336"/>
      <c r="AR36" s="424"/>
      <c r="AS36" s="424"/>
      <c r="AT36" s="424"/>
      <c r="AU36" s="424"/>
      <c r="AV36" s="424"/>
      <c r="AW36" s="474">
        <v>0</v>
      </c>
    </row>
    <row customHeight="1" ht="14.25" hidden="1">
      <c r="R37" s="432"/>
      <c r="S37" s="432"/>
      <c r="T37" s="432"/>
      <c r="U37" s="1331"/>
      <c r="V37" s="419"/>
      <c r="W37" s="419"/>
      <c r="X37" s="378"/>
      <c r="Y37" s="378"/>
      <c r="Z37" s="378"/>
      <c r="AA37" s="378"/>
      <c r="AB37" s="378"/>
      <c r="AC37" s="378"/>
      <c r="AD37" s="378"/>
      <c r="AE37" s="378"/>
      <c r="AF37" s="378"/>
      <c r="AG37" s="378"/>
      <c r="AH37" s="378"/>
      <c r="AI37" s="378"/>
      <c r="AJ37" s="378"/>
      <c r="AK37" s="378"/>
      <c r="AL37" s="378"/>
      <c r="AM37" s="378"/>
      <c r="AN37" s="378"/>
      <c r="AO37" s="378"/>
      <c r="AP37" s="565"/>
      <c r="AW37" s="1211">
        <v>0</v>
      </c>
    </row>
    <row s="2983" customFormat="1" customHeight="1" ht="18.75" hidden="1">
      <c r="A38" s="1304"/>
      <c r="B38" s="1304"/>
      <c r="C38" s="1304"/>
      <c r="D38" s="1304"/>
      <c r="E38" s="1304"/>
      <c r="F38" s="1304"/>
      <c r="G38" s="1304"/>
      <c r="H38" s="1304"/>
      <c r="I38" s="1304"/>
      <c r="J38" s="1304"/>
      <c r="K38" s="1304"/>
      <c r="L38" s="1304"/>
      <c r="M38" s="1436"/>
      <c r="N38" s="1304"/>
      <c r="O38" s="1304"/>
      <c r="P38" s="1304"/>
      <c r="U38" s="2306" t="s">
        <v>555</v>
      </c>
      <c r="V38" s="2306"/>
      <c r="W38" s="1428"/>
      <c r="X38" s="2320" t="str">
        <f>IF(TITLE_DATE_PR_CHANGE="",IF(TITLE_DATE_PR="","",TITLE_DATE_PR),TITLE_DATE_PR_CHANGE)</f>
        <v>45645</v>
      </c>
      <c r="Y38" s="2320"/>
      <c r="Z38" s="2320"/>
      <c r="AA38" s="2320"/>
      <c r="AB38" s="2320"/>
      <c r="AC38" s="2320"/>
      <c r="AD38" s="2320"/>
      <c r="AE38" s="2320"/>
      <c r="AF38" s="382"/>
      <c r="AG38" s="2320" t="str">
        <f>IF(TITLE_DATE_PR_CHANGE="",IF(TITLE_DATE_PR="","",TITLE_DATE_PR),TITLE_DATE_PR_CHANGE)</f>
        <v>45645</v>
      </c>
      <c r="AH38" s="2320"/>
      <c r="AI38" s="2320"/>
      <c r="AJ38" s="2320"/>
      <c r="AK38" s="2320"/>
      <c r="AL38" s="2320"/>
      <c r="AM38" s="2320"/>
      <c r="AN38" s="2320"/>
      <c r="AO38" s="382"/>
      <c r="AP38" s="382"/>
      <c r="AQ38" s="336"/>
      <c r="AR38" s="424"/>
      <c r="AS38" s="424"/>
      <c r="AT38" s="424"/>
      <c r="AU38" s="424"/>
      <c r="AV38" s="424"/>
      <c r="AW38" s="474">
        <v>0</v>
      </c>
    </row>
    <row s="2983" customFormat="1" customHeight="1" ht="18.75" hidden="1">
      <c r="A39" s="1304"/>
      <c r="B39" s="1304"/>
      <c r="C39" s="1304"/>
      <c r="D39" s="1304"/>
      <c r="E39" s="1304"/>
      <c r="F39" s="1304"/>
      <c r="G39" s="1304"/>
      <c r="H39" s="1304"/>
      <c r="I39" s="1304"/>
      <c r="J39" s="1304"/>
      <c r="K39" s="1304"/>
      <c r="L39" s="1304"/>
      <c r="M39" s="1436"/>
      <c r="N39" s="1304"/>
      <c r="O39" s="1304"/>
      <c r="P39" s="1304"/>
      <c r="U39" s="2306" t="s">
        <v>556</v>
      </c>
      <c r="V39" s="2306"/>
      <c r="W39" s="1428"/>
      <c r="X39" s="2307" t="str">
        <f>IF(TITLE_NUMBER_PR_CHANGE="",IF(TITLE_NUMBER_PR="","",TITLE_NUMBER_PR),TITLE_NUMBER_PR_CHANGE)</f>
        <v>208-вод</v>
      </c>
      <c r="Y39" s="2307"/>
      <c r="Z39" s="2307"/>
      <c r="AA39" s="2307"/>
      <c r="AB39" s="2307"/>
      <c r="AC39" s="2307"/>
      <c r="AD39" s="2307"/>
      <c r="AE39" s="2307"/>
      <c r="AF39" s="382"/>
      <c r="AG39" s="2307" t="str">
        <f>IF(TITLE_NUMBER_PR_CHANGE="",IF(TITLE_NUMBER_PR="","",TITLE_NUMBER_PR),TITLE_NUMBER_PR_CHANGE)</f>
        <v>208-вод</v>
      </c>
      <c r="AH39" s="2307"/>
      <c r="AI39" s="2307"/>
      <c r="AJ39" s="2307"/>
      <c r="AK39" s="2307"/>
      <c r="AL39" s="2307"/>
      <c r="AM39" s="2307"/>
      <c r="AN39" s="2307"/>
      <c r="AO39" s="382"/>
      <c r="AP39" s="382"/>
      <c r="AQ39" s="336"/>
      <c r="AR39" s="424"/>
      <c r="AS39" s="424"/>
      <c r="AT39" s="424"/>
      <c r="AU39" s="424"/>
      <c r="AV39" s="424"/>
      <c r="AW39" s="474">
        <v>0</v>
      </c>
    </row>
    <row s="2983" customFormat="1" customHeight="1" ht="0">
      <c r="A40" s="1304"/>
      <c r="B40" s="1304"/>
      <c r="C40" s="1304"/>
      <c r="D40" s="1304"/>
      <c r="E40" s="1304"/>
      <c r="F40" s="1304"/>
      <c r="G40" s="1304"/>
      <c r="H40" s="1304"/>
      <c r="I40" s="1304"/>
      <c r="J40" s="1304"/>
      <c r="K40" s="1304"/>
      <c r="L40" s="1304"/>
      <c r="M40" s="1436"/>
      <c r="N40" s="1304"/>
      <c r="O40" s="1304"/>
      <c r="P40" s="1304"/>
      <c r="U40" s="379"/>
      <c r="V40" s="379"/>
      <c r="W40" s="1396"/>
      <c r="X40" s="382"/>
      <c r="Y40" s="382"/>
      <c r="Z40" s="382"/>
      <c r="AA40" s="382"/>
      <c r="AB40" s="382"/>
      <c r="AC40" s="382"/>
      <c r="AD40" s="382"/>
      <c r="AE40" s="382"/>
      <c r="AF40" s="334" t="s">
        <v>557</v>
      </c>
      <c r="AG40" s="382"/>
      <c r="AH40" s="382"/>
      <c r="AI40" s="382"/>
      <c r="AJ40" s="382"/>
      <c r="AK40" s="382"/>
      <c r="AL40" s="382"/>
      <c r="AM40" s="382"/>
      <c r="AN40" s="382"/>
      <c r="AO40" s="334" t="s">
        <v>557</v>
      </c>
      <c r="AR40" s="424"/>
      <c r="AS40" s="424"/>
      <c r="AT40" s="424"/>
      <c r="AU40" s="424"/>
      <c r="AV40" s="424"/>
      <c r="AW40" s="474">
        <v>0</v>
      </c>
    </row>
    <row customHeight="1" ht="14.699999999999998">
      <c r="R41" s="432"/>
      <c r="S41" s="432"/>
      <c r="T41" s="432"/>
      <c r="U41" s="1331"/>
      <c r="V41" s="419"/>
      <c r="W41" s="1300"/>
      <c r="X41" s="2308"/>
      <c r="Y41" s="2308"/>
      <c r="Z41" s="2308"/>
      <c r="AA41" s="2308"/>
      <c r="AB41" s="2308"/>
      <c r="AC41" s="2308"/>
      <c r="AD41" s="2308"/>
      <c r="AE41" s="2308"/>
      <c r="AF41" s="2308"/>
      <c r="AG41" s="2308"/>
      <c r="AH41" s="2308"/>
      <c r="AI41" s="2308"/>
      <c r="AJ41" s="2308"/>
      <c r="AK41" s="2308"/>
      <c r="AL41" s="2308"/>
      <c r="AM41" s="2308"/>
      <c r="AN41" s="2308"/>
      <c r="AO41" s="2308"/>
      <c r="AW41" s="1211">
        <v>14</v>
      </c>
    </row>
    <row customHeight="1" ht="14.699999999999998">
      <c r="R42" s="432"/>
      <c r="S42" s="432"/>
      <c r="T42" s="432"/>
      <c r="U42" s="2183" t="s">
        <v>432</v>
      </c>
      <c r="V42" s="2183"/>
      <c r="W42" s="2183"/>
      <c r="X42" s="2183"/>
      <c r="Y42" s="2183"/>
      <c r="Z42" s="2183"/>
      <c r="AA42" s="2183"/>
      <c r="AB42" s="2183"/>
      <c r="AC42" s="2183"/>
      <c r="AD42" s="2183"/>
      <c r="AE42" s="2183"/>
      <c r="AF42" s="2183"/>
      <c r="AG42" s="2183"/>
      <c r="AH42" s="2183"/>
      <c r="AI42" s="2183"/>
      <c r="AJ42" s="2183"/>
      <c r="AK42" s="2183"/>
      <c r="AL42" s="2183"/>
      <c r="AM42" s="2183"/>
      <c r="AN42" s="2183"/>
      <c r="AO42" s="2183"/>
      <c r="AP42" s="2183"/>
      <c r="AQ42" s="2183" t="s">
        <v>433</v>
      </c>
      <c r="AW42" s="1211">
        <v>14</v>
      </c>
    </row>
    <row customHeight="1" ht="14.699999999999998">
      <c r="R43" s="432"/>
      <c r="S43" s="432"/>
      <c r="T43" s="432"/>
      <c r="U43" s="2329" t="s">
        <v>92</v>
      </c>
      <c r="V43" s="2265" t="s">
        <v>558</v>
      </c>
      <c r="W43" s="357"/>
      <c r="X43" s="2330" t="s">
        <v>559</v>
      </c>
      <c r="Y43" s="2347"/>
      <c r="Z43" s="2347"/>
      <c r="AA43" s="2347"/>
      <c r="AB43" s="2347"/>
      <c r="AC43" s="2331"/>
      <c r="AD43" s="2331"/>
      <c r="AE43" s="2332"/>
      <c r="AF43" s="2333" t="s">
        <v>560</v>
      </c>
      <c r="AG43" s="2330" t="s">
        <v>559</v>
      </c>
      <c r="AH43" s="2347"/>
      <c r="AI43" s="2347"/>
      <c r="AJ43" s="2347"/>
      <c r="AK43" s="2347"/>
      <c r="AL43" s="2331"/>
      <c r="AM43" s="2331"/>
      <c r="AN43" s="2332"/>
      <c r="AO43" s="2333" t="s">
        <v>561</v>
      </c>
      <c r="AP43" s="2336" t="s">
        <v>562</v>
      </c>
      <c r="AQ43" s="2183"/>
      <c r="AW43" s="1211">
        <v>14</v>
      </c>
    </row>
    <row customHeight="1" ht="35.699999999999996">
      <c r="R44" s="432"/>
      <c r="S44" s="432"/>
      <c r="T44" s="432"/>
      <c r="U44" s="2329"/>
      <c r="V44" s="2265"/>
      <c r="W44" s="1087"/>
      <c r="X44" s="2350" t="s">
        <v>584</v>
      </c>
      <c r="Y44" s="2368" t="s">
        <v>585</v>
      </c>
      <c r="Z44" s="2368"/>
      <c r="AA44" s="2368"/>
      <c r="AB44" s="2368"/>
      <c r="AC44" s="2350" t="s">
        <v>566</v>
      </c>
      <c r="AD44" s="2667"/>
      <c r="AE44" s="2370"/>
      <c r="AF44" s="2334"/>
      <c r="AG44" s="2350" t="s">
        <v>584</v>
      </c>
      <c r="AH44" s="2368" t="s">
        <v>585</v>
      </c>
      <c r="AI44" s="2368"/>
      <c r="AJ44" s="2368"/>
      <c r="AK44" s="2368"/>
      <c r="AL44" s="2350" t="s">
        <v>566</v>
      </c>
      <c r="AM44" s="2667"/>
      <c r="AN44" s="2370"/>
      <c r="AO44" s="2334"/>
      <c r="AP44" s="2337"/>
      <c r="AQ44" s="2183"/>
      <c r="AW44" s="1211">
        <v>34</v>
      </c>
    </row>
    <row customHeight="1" ht="14.699999999999998">
      <c r="R45" s="432"/>
      <c r="S45" s="432"/>
      <c r="T45" s="432"/>
      <c r="U45" s="2329"/>
      <c r="V45" s="2265"/>
      <c r="W45" s="1087"/>
      <c r="X45" s="2381"/>
      <c r="Y45" s="2373" t="s">
        <v>586</v>
      </c>
      <c r="Z45" s="2326" t="s">
        <v>587</v>
      </c>
      <c r="AA45" s="2376"/>
      <c r="AB45" s="2327"/>
      <c r="AC45" s="2351"/>
      <c r="AD45" s="2668"/>
      <c r="AE45" s="2372"/>
      <c r="AF45" s="2334"/>
      <c r="AG45" s="2381"/>
      <c r="AH45" s="2373" t="s">
        <v>586</v>
      </c>
      <c r="AI45" s="2326" t="s">
        <v>587</v>
      </c>
      <c r="AJ45" s="2376"/>
      <c r="AK45" s="2327"/>
      <c r="AL45" s="2351"/>
      <c r="AM45" s="2668"/>
      <c r="AN45" s="2372"/>
      <c r="AO45" s="2334"/>
      <c r="AP45" s="2337"/>
      <c r="AQ45" s="2183"/>
      <c r="AW45" s="1211">
        <v>14</v>
      </c>
    </row>
    <row customHeight="1" ht="27.299999999999997">
      <c r="R46" s="432"/>
      <c r="S46" s="432"/>
      <c r="T46" s="432"/>
      <c r="U46" s="2329"/>
      <c r="V46" s="2265"/>
      <c r="W46" s="1087"/>
      <c r="X46" s="2381"/>
      <c r="Y46" s="2374"/>
      <c r="Z46" s="2373" t="s">
        <v>588</v>
      </c>
      <c r="AA46" s="2326" t="s">
        <v>589</v>
      </c>
      <c r="AB46" s="2327"/>
      <c r="AC46" s="2373" t="s">
        <v>576</v>
      </c>
      <c r="AD46" s="2377" t="s">
        <v>577</v>
      </c>
      <c r="AE46" s="2378"/>
      <c r="AF46" s="2334"/>
      <c r="AG46" s="2381"/>
      <c r="AH46" s="2374"/>
      <c r="AI46" s="2373" t="s">
        <v>588</v>
      </c>
      <c r="AJ46" s="2326" t="s">
        <v>589</v>
      </c>
      <c r="AK46" s="2327"/>
      <c r="AL46" s="2373" t="s">
        <v>576</v>
      </c>
      <c r="AM46" s="2377" t="s">
        <v>577</v>
      </c>
      <c r="AN46" s="2378"/>
      <c r="AO46" s="2334"/>
      <c r="AP46" s="2337"/>
      <c r="AQ46" s="2183"/>
      <c r="AW46" s="1211">
        <v>26</v>
      </c>
    </row>
    <row customHeight="1" ht="65.25">
      <c r="A47" s="1315"/>
      <c r="B47" s="1315" t="s">
        <v>214</v>
      </c>
      <c r="C47" s="1315" t="s">
        <v>215</v>
      </c>
      <c r="D47" s="1315" t="s">
        <v>216</v>
      </c>
      <c r="E47" s="1366" t="s">
        <v>567</v>
      </c>
      <c r="F47" s="1366" t="s">
        <v>568</v>
      </c>
      <c r="G47" s="1366" t="s">
        <v>569</v>
      </c>
      <c r="H47" s="1366" t="s">
        <v>570</v>
      </c>
      <c r="I47" s="1366" t="s">
        <v>571</v>
      </c>
      <c r="J47" s="1366" t="s">
        <v>572</v>
      </c>
      <c r="K47" s="1366" t="s">
        <v>573</v>
      </c>
      <c r="L47" s="1366" t="s">
        <v>590</v>
      </c>
      <c r="M47" s="1366" t="s">
        <v>548</v>
      </c>
      <c r="R47" s="432"/>
      <c r="S47" s="432"/>
      <c r="T47" s="432"/>
      <c r="U47" s="2329"/>
      <c r="V47" s="2265"/>
      <c r="W47" s="358"/>
      <c r="X47" s="2351"/>
      <c r="Y47" s="2375"/>
      <c r="Z47" s="2375"/>
      <c r="AA47" s="1278" t="s">
        <v>591</v>
      </c>
      <c r="AB47" s="1278" t="s">
        <v>592</v>
      </c>
      <c r="AC47" s="2375"/>
      <c r="AD47" s="2379"/>
      <c r="AE47" s="2380"/>
      <c r="AF47" s="2335"/>
      <c r="AG47" s="2351"/>
      <c r="AH47" s="2375"/>
      <c r="AI47" s="2375"/>
      <c r="AJ47" s="1278" t="s">
        <v>591</v>
      </c>
      <c r="AK47" s="1278" t="s">
        <v>592</v>
      </c>
      <c r="AL47" s="2375"/>
      <c r="AM47" s="2379"/>
      <c r="AN47" s="2380"/>
      <c r="AO47" s="2335"/>
      <c r="AP47" s="2338"/>
      <c r="AQ47" s="2183"/>
      <c r="AW47" s="1211">
        <v>62</v>
      </c>
    </row>
    <row s="3442" customFormat="1" customHeight="1" ht="11.25" hidden="1">
      <c r="A48" s="1315"/>
      <c r="B48" s="1315"/>
      <c r="C48" s="1315"/>
      <c r="D48" s="1315"/>
      <c r="E48" s="1315"/>
      <c r="F48" s="1315"/>
      <c r="G48" s="1315"/>
      <c r="H48" s="1315"/>
      <c r="I48" s="1315"/>
      <c r="J48" s="1315"/>
      <c r="K48" s="1315"/>
      <c r="L48" s="1315"/>
      <c r="M48" s="1366"/>
      <c r="N48" s="1384"/>
      <c r="O48" s="1384"/>
      <c r="P48" s="1384"/>
      <c r="Q48" s="1302"/>
      <c r="R48" s="1303"/>
      <c r="S48" s="1310">
        <v>1</v>
      </c>
      <c r="T48" s="1310"/>
      <c r="U48" s="1333" t="s">
        <v>191</v>
      </c>
      <c r="V48" s="1311" t="s">
        <v>108</v>
      </c>
      <c r="W48" s="1301" t="str">
        <f>OFFSET(W48,0,-1)</f>
        <v>2</v>
      </c>
      <c r="X48" s="1391">
        <f>OFFSET(X48,0,-1)+1</f>
        <v>3</v>
      </c>
      <c r="Y48" s="1397"/>
      <c r="Z48" s="1397"/>
      <c r="AA48" s="1397">
        <f>OFFSET(AA48,0,-1)+1</f>
        <v>1</v>
      </c>
      <c r="AB48" s="1397">
        <f>OFFSET(AB48,0,-1)+1</f>
        <v>2</v>
      </c>
      <c r="AC48" s="1391">
        <f>OFFSET(AC48,0,-1)+1</f>
        <v>3</v>
      </c>
      <c r="AD48" s="2328">
        <f>OFFSET(AD48,0,-1)+1</f>
        <v>4</v>
      </c>
      <c r="AE48" s="2328"/>
      <c r="AF48" s="1391">
        <f>OFFSET(AF48,0,-2)+1</f>
        <v>5</v>
      </c>
      <c r="AG48" s="1391">
        <f>OFFSET(AG48,0,-1)+1</f>
        <v>6</v>
      </c>
      <c r="AH48" s="1391"/>
      <c r="AI48" s="1391"/>
      <c r="AJ48" s="1391">
        <f>OFFSET(AJ48,0,-1)+1</f>
        <v>1</v>
      </c>
      <c r="AK48" s="1391">
        <f>OFFSET(AK48,0,-1)+1</f>
        <v>2</v>
      </c>
      <c r="AL48" s="1391">
        <f>OFFSET(AL48,0,-1)+1</f>
        <v>3</v>
      </c>
      <c r="AM48" s="2328">
        <f>OFFSET(AM48,0,-1)+1</f>
        <v>4</v>
      </c>
      <c r="AN48" s="2328"/>
      <c r="AO48" s="1391">
        <f>OFFSET(AO48,0,-2)+1</f>
        <v>5</v>
      </c>
      <c r="AP48" s="1301">
        <f>OFFSET(AP48,0,-1)</f>
        <v>5</v>
      </c>
      <c r="AQ48" s="1391">
        <f>OFFSET(AQ48,0,-1)+1</f>
        <v>6</v>
      </c>
      <c r="AR48" s="567"/>
      <c r="AS48" s="567"/>
      <c r="AT48" s="567"/>
      <c r="AU48" s="567"/>
      <c r="AV48" s="567"/>
      <c r="AW48" s="552">
        <v>0</v>
      </c>
    </row>
    <row customHeight="1" ht="22.049999999999997">
      <c r="A49" s="1323" t="s">
        <v>247</v>
      </c>
      <c r="B49" s="1323"/>
      <c r="C49" s="1323"/>
      <c r="D49" s="1323"/>
      <c r="E49" s="2345">
        <v>1</v>
      </c>
      <c r="F49" s="1323"/>
      <c r="G49" s="1323"/>
      <c r="H49" s="1323"/>
      <c r="I49" s="1323"/>
      <c r="J49" s="1323"/>
      <c r="K49" s="1323"/>
      <c r="L49" s="1323"/>
      <c r="M49" s="1366"/>
      <c r="N49" s="744"/>
      <c r="O49" s="744"/>
      <c r="P49" s="744"/>
      <c r="Q49" s="417"/>
      <c r="R49" s="416"/>
      <c r="S49" s="416"/>
      <c r="T49" s="411"/>
      <c r="U49" s="1392">
        <f>INDEX(PT_DIFFERENTIATION_NUM_NTAR,MATCH(A49,PT_DIFFERENTIATION_NTAR_ID,0))</f>
        <v>0</v>
      </c>
      <c r="V49" s="354" t="s">
        <v>202</v>
      </c>
      <c r="W49" s="356"/>
      <c r="X49" s="2298"/>
      <c r="Y49" s="2299"/>
      <c r="Z49" s="2299"/>
      <c r="AA49" s="2299"/>
      <c r="AB49" s="2299"/>
      <c r="AC49" s="2299"/>
      <c r="AD49" s="2299"/>
      <c r="AE49" s="2299"/>
      <c r="AF49" s="2300"/>
      <c r="AG49" s="2298" t="str">
        <f>INDEX(PT_DIFFERENTIATION_NTAR,MATCH(A49,PT_DIFFERENTIATION_NTAR_ID,0))</f>
        <v/>
      </c>
      <c r="AH49" s="2299"/>
      <c r="AI49" s="2299"/>
      <c r="AJ49" s="2299"/>
      <c r="AK49" s="2299"/>
      <c r="AL49" s="2299"/>
      <c r="AM49" s="2299"/>
      <c r="AN49" s="2299"/>
      <c r="AO49" s="2299"/>
      <c r="AP49" s="2300"/>
      <c r="AQ49" s="131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56"/>
      <c r="AT49" s="556" t="str">
        <f>IF(V49="","",V49)</f>
        <v>Наименование тарифа</v>
      </c>
      <c r="AU49" s="556"/>
      <c r="AV49" s="556"/>
      <c r="AW49" s="1211">
        <v>21</v>
      </c>
    </row>
    <row customHeight="1" ht="22.049999999999997">
      <c r="A50" s="1323" t="s">
        <v>247</v>
      </c>
      <c r="B50" s="1323" t="s">
        <v>248</v>
      </c>
      <c r="C50" s="1323"/>
      <c r="D50" s="1323"/>
      <c r="E50" s="2346"/>
      <c r="F50" s="2345">
        <v>1</v>
      </c>
      <c r="G50" s="1323"/>
      <c r="H50" s="1323"/>
      <c r="I50" s="1323"/>
      <c r="J50" s="1323"/>
      <c r="K50" s="1323"/>
      <c r="L50" s="1323"/>
      <c r="M50" s="1366"/>
      <c r="N50" s="744"/>
      <c r="O50" s="744"/>
      <c r="P50" s="744"/>
      <c r="Q50" s="1388"/>
      <c r="R50" s="408"/>
      <c r="S50" s="565"/>
      <c r="T50" s="409"/>
      <c r="U50" s="1392" t="str">
        <f>INDEX(PT_DIFFERENTIATION_NUM_TER,MATCH(B50,PT_DIFFERENTIATION_TER_ID,0))</f>
        <v>.</v>
      </c>
      <c r="V50" s="364" t="s">
        <v>529</v>
      </c>
      <c r="W50" s="356"/>
      <c r="X50" s="2298"/>
      <c r="Y50" s="2299"/>
      <c r="Z50" s="2299"/>
      <c r="AA50" s="2299"/>
      <c r="AB50" s="2299"/>
      <c r="AC50" s="2299"/>
      <c r="AD50" s="2299"/>
      <c r="AE50" s="2299"/>
      <c r="AF50" s="2300"/>
      <c r="AG50" s="2298" t="str">
        <f>INDEX(PT_DIFFERENTIATION_TER,MATCH(B50,PT_DIFFERENTIATION_TER_ID,0))</f>
        <v/>
      </c>
      <c r="AH50" s="2299"/>
      <c r="AI50" s="2299"/>
      <c r="AJ50" s="2299"/>
      <c r="AK50" s="2299"/>
      <c r="AL50" s="2299"/>
      <c r="AM50" s="2299"/>
      <c r="AN50" s="2299"/>
      <c r="AO50" s="2299"/>
      <c r="AP50" s="2300"/>
      <c r="AQ50" s="1314" t="s">
        <v>530</v>
      </c>
      <c r="AS50" s="556"/>
      <c r="AT50" s="556" t="str">
        <f>IF(V50="","",V50)</f>
        <v>Территория действия тарифа</v>
      </c>
      <c r="AU50" s="556"/>
      <c r="AV50" s="556"/>
      <c r="AW50" s="1211">
        <v>21</v>
      </c>
    </row>
    <row customHeight="1" ht="24">
      <c r="A51" s="1323" t="s">
        <v>247</v>
      </c>
      <c r="B51" s="1323" t="s">
        <v>248</v>
      </c>
      <c r="C51" s="1323" t="s">
        <v>249</v>
      </c>
      <c r="D51" s="1323"/>
      <c r="E51" s="2346"/>
      <c r="F51" s="2346"/>
      <c r="G51" s="2345">
        <v>1</v>
      </c>
      <c r="H51" s="1323"/>
      <c r="I51" s="1323"/>
      <c r="J51" s="1323"/>
      <c r="K51" s="1323"/>
      <c r="L51" s="1323"/>
      <c r="M51" s="1366"/>
      <c r="N51" s="744"/>
      <c r="O51" s="744"/>
      <c r="P51" s="744"/>
      <c r="Q51" s="410"/>
      <c r="R51" s="408"/>
      <c r="S51" s="565"/>
      <c r="T51" s="409"/>
      <c r="U51" s="1392" t="str">
        <f>INDEX(PT_DIFFERENTIATION_NUM_CS,MATCH(C51,PT_DIFFERENTIATION_CS_ID,0))</f>
        <v>..</v>
      </c>
      <c r="V51" s="365" t="s">
        <v>531</v>
      </c>
      <c r="W51" s="356"/>
      <c r="X51" s="2298"/>
      <c r="Y51" s="2299"/>
      <c r="Z51" s="2299"/>
      <c r="AA51" s="2299"/>
      <c r="AB51" s="2299"/>
      <c r="AC51" s="2299"/>
      <c r="AD51" s="2299"/>
      <c r="AE51" s="2299"/>
      <c r="AF51" s="2300"/>
      <c r="AG51" s="2298" t="str">
        <f>INDEX(PT_DIFFERENTIATION_CS,MATCH(C51,PT_DIFFERENTIATION_CS_ID,0))</f>
        <v/>
      </c>
      <c r="AH51" s="2299"/>
      <c r="AI51" s="2299"/>
      <c r="AJ51" s="2299"/>
      <c r="AK51" s="2299"/>
      <c r="AL51" s="2299"/>
      <c r="AM51" s="2299"/>
      <c r="AN51" s="2299"/>
      <c r="AO51" s="2299"/>
      <c r="AP51" s="2300"/>
      <c r="AQ51" s="1314" t="s">
        <v>532</v>
      </c>
      <c r="AS51" s="556"/>
      <c r="AT51" s="556" t="str">
        <f>IF(V51="","",V51)</f>
        <v>Наименование системы теплоснабжения </v>
      </c>
      <c r="AU51" s="556"/>
      <c r="AV51" s="556"/>
      <c r="AW51" s="1211">
        <v>23</v>
      </c>
    </row>
    <row customHeight="1" ht="22.049999999999997">
      <c r="A52" s="1323" t="s">
        <v>247</v>
      </c>
      <c r="B52" s="1323" t="s">
        <v>248</v>
      </c>
      <c r="C52" s="1323" t="s">
        <v>249</v>
      </c>
      <c r="D52" s="1323" t="s">
        <v>250</v>
      </c>
      <c r="E52" s="2346"/>
      <c r="F52" s="2346"/>
      <c r="G52" s="2346"/>
      <c r="H52" s="2366">
        <v>1</v>
      </c>
      <c r="I52" s="1323"/>
      <c r="J52" s="1323"/>
      <c r="K52" s="1323"/>
      <c r="L52" s="1323"/>
      <c r="M52" s="1366"/>
      <c r="N52" s="744"/>
      <c r="O52" s="744"/>
      <c r="P52" s="744"/>
      <c r="Q52" s="410"/>
      <c r="R52" s="408"/>
      <c r="S52" s="565"/>
      <c r="T52" s="409"/>
      <c r="U52" s="1392" t="str">
        <f>INDEX(PT_DIFFERENTIATION_NUM_IST_TE,MATCH(D52,PT_DIFFERENTIATION_IST_TE_ID,0))</f>
        <v>...</v>
      </c>
      <c r="V52" s="366" t="s">
        <v>533</v>
      </c>
      <c r="W52" s="356"/>
      <c r="X52" s="2298"/>
      <c r="Y52" s="2299"/>
      <c r="Z52" s="2299"/>
      <c r="AA52" s="2299"/>
      <c r="AB52" s="2299"/>
      <c r="AC52" s="2299"/>
      <c r="AD52" s="2299"/>
      <c r="AE52" s="2299"/>
      <c r="AF52" s="2300"/>
      <c r="AG52" s="2298" t="str">
        <f>INDEX(PT_DIFFERENTIATION_IST_TE,MATCH(D52,PT_DIFFERENTIATION_IST_TE_ID,0))</f>
        <v/>
      </c>
      <c r="AH52" s="2299"/>
      <c r="AI52" s="2299"/>
      <c r="AJ52" s="2299"/>
      <c r="AK52" s="2299"/>
      <c r="AL52" s="2299"/>
      <c r="AM52" s="2299"/>
      <c r="AN52" s="2299"/>
      <c r="AO52" s="2299"/>
      <c r="AP52" s="2300"/>
      <c r="AQ52" s="1314" t="s">
        <v>534</v>
      </c>
      <c r="AS52" s="556"/>
      <c r="AT52" s="556" t="str">
        <f>IF(V52="","",V52)</f>
        <v>Источник тепловой энергии  </v>
      </c>
      <c r="AU52" s="556"/>
      <c r="AV52" s="556"/>
      <c r="AW52" s="1211">
        <v>21</v>
      </c>
    </row>
    <row s="2851" customFormat="1" customHeight="1" ht="0">
      <c r="A53" s="1431" t="s">
        <v>247</v>
      </c>
      <c r="B53" s="1431" t="s">
        <v>248</v>
      </c>
      <c r="C53" s="1431" t="s">
        <v>249</v>
      </c>
      <c r="D53" s="1431" t="s">
        <v>250</v>
      </c>
      <c r="E53" s="2346"/>
      <c r="F53" s="2346"/>
      <c r="G53" s="2346"/>
      <c r="H53" s="2367"/>
      <c r="I53" s="2183" t="str">
        <f>U52&amp;".1"</f>
        <v>....1</v>
      </c>
      <c r="J53" s="1431"/>
      <c r="K53" s="1431"/>
      <c r="L53" s="1431"/>
      <c r="M53" s="1437" t="s">
        <v>535</v>
      </c>
      <c r="N53" s="1302"/>
      <c r="O53" s="1302"/>
      <c r="P53" s="1302"/>
      <c r="Q53" s="2313">
        <v>1</v>
      </c>
      <c r="R53" s="1387"/>
      <c r="S53" s="1387"/>
      <c r="T53" s="412"/>
      <c r="U53" s="1098"/>
      <c r="V53" s="1439"/>
      <c r="W53" s="1440"/>
      <c r="X53" s="2352"/>
      <c r="Y53" s="2353"/>
      <c r="Z53" s="2353"/>
      <c r="AA53" s="2353"/>
      <c r="AB53" s="2353"/>
      <c r="AC53" s="2353"/>
      <c r="AD53" s="2353"/>
      <c r="AE53" s="2353"/>
      <c r="AF53" s="2354"/>
      <c r="AG53" s="2352"/>
      <c r="AH53" s="2353"/>
      <c r="AI53" s="2353"/>
      <c r="AJ53" s="2353"/>
      <c r="AK53" s="2353"/>
      <c r="AL53" s="2353"/>
      <c r="AM53" s="2353"/>
      <c r="AN53" s="2353"/>
      <c r="AO53" s="2353"/>
      <c r="AP53" s="2354"/>
      <c r="AQ53" s="1441"/>
      <c r="AS53" s="556"/>
      <c r="AT53" s="556" t="str">
        <f>IF(V53="","",V53)</f>
        <v/>
      </c>
      <c r="AU53" s="556"/>
      <c r="AV53" s="556"/>
      <c r="AW53" s="567">
        <v>0</v>
      </c>
    </row>
    <row customHeight="1" ht="22.049999999999997">
      <c r="A54" s="1323" t="s">
        <v>247</v>
      </c>
      <c r="B54" s="1323" t="s">
        <v>248</v>
      </c>
      <c r="C54" s="1323" t="s">
        <v>249</v>
      </c>
      <c r="D54" s="1323" t="s">
        <v>250</v>
      </c>
      <c r="E54" s="2346"/>
      <c r="F54" s="2346"/>
      <c r="G54" s="2346"/>
      <c r="H54" s="2367"/>
      <c r="I54" s="2157"/>
      <c r="J54" s="2183" t="str">
        <f>I53&amp;".1"</f>
        <v>....1.1</v>
      </c>
      <c r="K54" s="1323"/>
      <c r="L54" s="1323"/>
      <c r="M54" s="1366" t="s">
        <v>538</v>
      </c>
      <c r="Q54" s="2313"/>
      <c r="R54" s="2313">
        <v>1</v>
      </c>
      <c r="S54" s="574"/>
      <c r="T54" s="413"/>
      <c r="U54" s="1392" t="str">
        <f>$J54</f>
        <v>....1.1</v>
      </c>
      <c r="V54" s="342" t="s">
        <v>539</v>
      </c>
      <c r="W54" s="356"/>
      <c r="X54" s="2301"/>
      <c r="Y54" s="2302"/>
      <c r="Z54" s="2302"/>
      <c r="AA54" s="2302"/>
      <c r="AB54" s="2302"/>
      <c r="AC54" s="2291"/>
      <c r="AD54" s="2291"/>
      <c r="AE54" s="2291"/>
      <c r="AF54" s="2364"/>
      <c r="AG54" s="2301"/>
      <c r="AH54" s="2302"/>
      <c r="AI54" s="2302"/>
      <c r="AJ54" s="2302"/>
      <c r="AK54" s="2302"/>
      <c r="AL54" s="2302"/>
      <c r="AM54" s="2302"/>
      <c r="AN54" s="2302"/>
      <c r="AO54" s="2302"/>
      <c r="AP54" s="2303"/>
      <c r="AQ54" s="1314" t="s">
        <v>540</v>
      </c>
      <c r="AS54" s="556"/>
      <c r="AT54" s="556" t="str">
        <f>IF(V54="","",V54)</f>
        <v>Группа потребителей</v>
      </c>
      <c r="AU54" s="556"/>
      <c r="AV54" s="556"/>
      <c r="AW54" s="1211">
        <v>21</v>
      </c>
    </row>
    <row customHeight="1" ht="22.049999999999997">
      <c r="A55" s="1323" t="s">
        <v>247</v>
      </c>
      <c r="B55" s="1323" t="s">
        <v>248</v>
      </c>
      <c r="C55" s="1323" t="s">
        <v>249</v>
      </c>
      <c r="D55" s="1323" t="s">
        <v>250</v>
      </c>
      <c r="E55" s="2346"/>
      <c r="F55" s="2346"/>
      <c r="G55" s="2346"/>
      <c r="H55" s="2367"/>
      <c r="I55" s="2157"/>
      <c r="J55" s="2157"/>
      <c r="K55" s="2183" t="str">
        <f>J54&amp;".1"</f>
        <v>....1.1.1</v>
      </c>
      <c r="L55" s="195"/>
      <c r="M55" s="1366" t="s">
        <v>541</v>
      </c>
      <c r="Q55" s="2313"/>
      <c r="R55" s="2313"/>
      <c r="S55" s="574">
        <v>1</v>
      </c>
      <c r="T55" s="413"/>
      <c r="U55" s="1392" t="str">
        <f>$K55</f>
        <v>....1.1.1</v>
      </c>
      <c r="V55" s="1403"/>
      <c r="W55" s="356"/>
      <c r="X55" s="807"/>
      <c r="Y55" s="807"/>
      <c r="Z55" s="807"/>
      <c r="AA55" s="807"/>
      <c r="AB55" s="1461"/>
      <c r="AC55" s="2321"/>
      <c r="AD55" s="2163" t="s">
        <v>65</v>
      </c>
      <c r="AE55" s="2321"/>
      <c r="AF55" s="2163" t="s">
        <v>65</v>
      </c>
      <c r="AG55" s="1463"/>
      <c r="AH55" s="807"/>
      <c r="AI55" s="807"/>
      <c r="AJ55" s="807"/>
      <c r="AK55" s="1313"/>
      <c r="AL55" s="2321"/>
      <c r="AM55" s="2163" t="s">
        <v>65</v>
      </c>
      <c r="AN55" s="2321"/>
      <c r="AO55" s="2163" t="s">
        <v>65</v>
      </c>
      <c r="AP55" s="1404"/>
      <c r="AQ55" s="1363" t="s">
        <v>581</v>
      </c>
      <c r="AR55" s="567">
        <f>STRCHECKDATE(X57:AP57)</f>
      </c>
      <c r="AS55" s="556"/>
      <c r="AT55" s="556" t="str">
        <f>IF(V55="","",V55)</f>
        <v/>
      </c>
      <c r="AU55" s="556"/>
      <c r="AV55" s="556"/>
      <c r="AW55" s="1211">
        <v>21</v>
      </c>
    </row>
    <row customHeight="1" ht="11.549999999999999">
      <c r="A56" s="1323" t="s">
        <v>247</v>
      </c>
      <c r="B56" s="1323" t="s">
        <v>248</v>
      </c>
      <c r="C56" s="1323" t="s">
        <v>249</v>
      </c>
      <c r="D56" s="1323" t="s">
        <v>250</v>
      </c>
      <c r="E56" s="2346"/>
      <c r="F56" s="2346"/>
      <c r="G56" s="2346"/>
      <c r="H56" s="2367"/>
      <c r="I56" s="2157"/>
      <c r="J56" s="2157"/>
      <c r="K56" s="2157"/>
      <c r="L56" s="2183" t="str">
        <f>K55&amp;".1"</f>
        <v>....1.1.1.1</v>
      </c>
      <c r="M56" s="1366"/>
      <c r="Q56" s="2313"/>
      <c r="R56" s="2313"/>
      <c r="S56" s="574">
        <v>1</v>
      </c>
      <c r="T56" s="413"/>
      <c r="U56" s="1392" t="str">
        <f>$L56</f>
        <v>....1.1.1.1</v>
      </c>
      <c r="V56" s="1447"/>
      <c r="W56" s="356"/>
      <c r="X56" s="381"/>
      <c r="Y56" s="807"/>
      <c r="Z56" s="807"/>
      <c r="AA56" s="807"/>
      <c r="AB56" s="1461"/>
      <c r="AC56" s="2365"/>
      <c r="AD56" s="2163"/>
      <c r="AE56" s="2365"/>
      <c r="AF56" s="2163"/>
      <c r="AG56" s="1463"/>
      <c r="AH56" s="807"/>
      <c r="AI56" s="807"/>
      <c r="AJ56" s="807"/>
      <c r="AK56" s="1313"/>
      <c r="AL56" s="2365"/>
      <c r="AM56" s="2163"/>
      <c r="AN56" s="2365"/>
      <c r="AO56" s="2163"/>
      <c r="AP56" s="1404"/>
      <c r="AQ56" s="2309" t="s">
        <v>582</v>
      </c>
      <c r="AR56" s="567">
        <f>STRCHECKDATE(X58:AP58)</f>
      </c>
      <c r="AS56" s="556"/>
      <c r="AT56" s="556" t="str">
        <f>IF(V56="","",V56)</f>
        <v/>
      </c>
      <c r="AU56" s="556"/>
      <c r="AV56" s="556"/>
      <c r="AW56" s="1211">
        <v>11</v>
      </c>
    </row>
    <row customHeight="1" ht="0">
      <c r="A57" s="1323" t="s">
        <v>247</v>
      </c>
      <c r="B57" s="1323" t="s">
        <v>248</v>
      </c>
      <c r="C57" s="1323" t="s">
        <v>249</v>
      </c>
      <c r="D57" s="1323" t="s">
        <v>250</v>
      </c>
      <c r="E57" s="2346"/>
      <c r="F57" s="2346"/>
      <c r="G57" s="2346"/>
      <c r="H57" s="2367"/>
      <c r="I57" s="2157"/>
      <c r="J57" s="2157"/>
      <c r="K57" s="2157"/>
      <c r="L57" s="2183"/>
      <c r="M57" s="1366"/>
      <c r="Q57" s="2313"/>
      <c r="R57" s="2313"/>
      <c r="S57" s="574"/>
      <c r="T57" s="413"/>
      <c r="U57" s="1398"/>
      <c r="V57" s="356"/>
      <c r="W57" s="356"/>
      <c r="X57" s="381"/>
      <c r="Y57" s="381"/>
      <c r="Z57" s="381"/>
      <c r="AA57" s="381"/>
      <c r="AB57" s="1462" t="str">
        <f>AC55&amp;"-"&amp;AE55</f>
        <v>-</v>
      </c>
      <c r="AC57" s="2365"/>
      <c r="AD57" s="2163"/>
      <c r="AE57" s="2365"/>
      <c r="AF57" s="2163"/>
      <c r="AG57" s="1438"/>
      <c r="AH57" s="381"/>
      <c r="AI57" s="381"/>
      <c r="AJ57" s="381"/>
      <c r="AK57" s="384" t="str">
        <f>AL55&amp;"-"&amp;AN55</f>
        <v>-</v>
      </c>
      <c r="AL57" s="2365"/>
      <c r="AM57" s="2163"/>
      <c r="AN57" s="2365"/>
      <c r="AO57" s="2163"/>
      <c r="AP57" s="1405"/>
      <c r="AQ57" s="2310"/>
      <c r="AS57" s="556"/>
      <c r="AT57" s="556" t="str">
        <f>IF(V57="","",V57)</f>
        <v/>
      </c>
      <c r="AU57" s="556"/>
      <c r="AV57" s="556"/>
      <c r="AW57" s="1211">
        <v>0</v>
      </c>
    </row>
    <row customHeight="1" ht="11.549999999999999">
      <c r="A58" s="1323" t="s">
        <v>247</v>
      </c>
      <c r="B58" s="1323" t="s">
        <v>248</v>
      </c>
      <c r="C58" s="1323" t="s">
        <v>249</v>
      </c>
      <c r="D58" s="1323" t="s">
        <v>250</v>
      </c>
      <c r="E58" s="2346"/>
      <c r="F58" s="2346"/>
      <c r="G58" s="2346"/>
      <c r="H58" s="2367"/>
      <c r="I58" s="2157"/>
      <c r="J58" s="2157"/>
      <c r="K58" s="2183"/>
      <c r="L58" s="1323"/>
      <c r="M58" s="1366"/>
      <c r="Q58" s="2313"/>
      <c r="R58" s="2313"/>
      <c r="S58" s="1387"/>
      <c r="T58" s="412"/>
      <c r="U58" s="1334"/>
      <c r="V58" s="344" t="s">
        <v>583</v>
      </c>
      <c r="W58" s="423"/>
      <c r="X58" s="423"/>
      <c r="Y58" s="423"/>
      <c r="Z58" s="423"/>
      <c r="AA58" s="423"/>
      <c r="AB58" s="423"/>
      <c r="AC58" s="2365"/>
      <c r="AD58" s="2163"/>
      <c r="AE58" s="2365"/>
      <c r="AF58" s="2163"/>
      <c r="AG58" s="423"/>
      <c r="AH58" s="423"/>
      <c r="AI58" s="423"/>
      <c r="AJ58" s="423"/>
      <c r="AK58" s="423"/>
      <c r="AL58" s="2365"/>
      <c r="AM58" s="2163"/>
      <c r="AN58" s="2365"/>
      <c r="AO58" s="2163"/>
      <c r="AP58" s="380"/>
      <c r="AQ58" s="2310"/>
      <c r="AS58" s="556"/>
      <c r="AT58" s="556" t="str">
        <f>IF(V58="","",V58)</f>
        <v>Добавить наименование поставщика</v>
      </c>
      <c r="AU58" s="556"/>
      <c r="AV58" s="556"/>
      <c r="AW58" s="1211">
        <v>11</v>
      </c>
    </row>
    <row customHeight="1" ht="11.549999999999999">
      <c r="A59" s="1323" t="s">
        <v>247</v>
      </c>
      <c r="B59" s="1323" t="s">
        <v>248</v>
      </c>
      <c r="C59" s="1323" t="s">
        <v>249</v>
      </c>
      <c r="D59" s="1323" t="s">
        <v>250</v>
      </c>
      <c r="E59" s="2346"/>
      <c r="F59" s="2346"/>
      <c r="G59" s="2346"/>
      <c r="H59" s="2367"/>
      <c r="I59" s="2157"/>
      <c r="J59" s="2183"/>
      <c r="K59" s="1323"/>
      <c r="L59" s="1323"/>
      <c r="M59" s="1366"/>
      <c r="Q59" s="2313"/>
      <c r="R59" s="2313"/>
      <c r="S59" s="1387"/>
      <c r="T59" s="412"/>
      <c r="U59" s="1334"/>
      <c r="V59" s="343" t="s">
        <v>543</v>
      </c>
      <c r="W59" s="423"/>
      <c r="X59" s="423"/>
      <c r="Y59" s="423"/>
      <c r="Z59" s="423"/>
      <c r="AA59" s="423"/>
      <c r="AB59" s="423"/>
      <c r="AC59" s="1464"/>
      <c r="AD59" s="1464"/>
      <c r="AE59" s="1464"/>
      <c r="AF59" s="1464"/>
      <c r="AG59" s="423"/>
      <c r="AH59" s="423"/>
      <c r="AI59" s="423"/>
      <c r="AJ59" s="423"/>
      <c r="AK59" s="423"/>
      <c r="AL59" s="423"/>
      <c r="AM59" s="423"/>
      <c r="AN59" s="423"/>
      <c r="AO59" s="423"/>
      <c r="AP59" s="380"/>
      <c r="AQ59" s="2311"/>
      <c r="AS59" s="556"/>
      <c r="AT59" s="556" t="str">
        <f>IF(V59="","",V59)</f>
        <v>Добавить вид теплоносителя (параметры теплоносителя)</v>
      </c>
      <c r="AU59" s="556"/>
      <c r="AV59" s="556"/>
      <c r="AW59" s="1211">
        <v>11</v>
      </c>
    </row>
    <row customHeight="1" ht="11.549999999999999">
      <c r="A60" s="1323" t="s">
        <v>247</v>
      </c>
      <c r="B60" s="1323" t="s">
        <v>248</v>
      </c>
      <c r="C60" s="1323" t="s">
        <v>249</v>
      </c>
      <c r="D60" s="1323" t="s">
        <v>250</v>
      </c>
      <c r="E60" s="2346"/>
      <c r="F60" s="2346"/>
      <c r="G60" s="2346"/>
      <c r="H60" s="2367"/>
      <c r="I60" s="2183"/>
      <c r="J60" s="1323"/>
      <c r="K60" s="1323"/>
      <c r="L60" s="1323"/>
      <c r="M60" s="1366"/>
      <c r="Q60" s="2313"/>
      <c r="R60" s="1387"/>
      <c r="S60" s="1387"/>
      <c r="T60" s="412"/>
      <c r="U60" s="1334"/>
      <c r="V60" s="421" t="s">
        <v>544</v>
      </c>
      <c r="W60" s="423"/>
      <c r="X60" s="423"/>
      <c r="Y60" s="423"/>
      <c r="Z60" s="423"/>
      <c r="AA60" s="423"/>
      <c r="AB60" s="423"/>
      <c r="AC60" s="423"/>
      <c r="AD60" s="423"/>
      <c r="AE60" s="423"/>
      <c r="AF60" s="422"/>
      <c r="AG60" s="423"/>
      <c r="AH60" s="423"/>
      <c r="AI60" s="423"/>
      <c r="AJ60" s="423"/>
      <c r="AK60" s="423"/>
      <c r="AL60" s="423"/>
      <c r="AM60" s="423"/>
      <c r="AN60" s="423"/>
      <c r="AO60" s="422"/>
      <c r="AP60" s="423"/>
      <c r="AQ60" s="359"/>
      <c r="AS60" s="556"/>
      <c r="AT60" s="556" t="str">
        <f>IF(V60="","",V60)</f>
        <v>Добавить группу потребителей</v>
      </c>
      <c r="AU60" s="556"/>
      <c r="AV60" s="556"/>
      <c r="AW60" s="1211">
        <v>11</v>
      </c>
    </row>
    <row customHeight="1" ht="0">
      <c r="A61" s="1323" t="s">
        <v>247</v>
      </c>
      <c r="B61" s="1323" t="s">
        <v>248</v>
      </c>
      <c r="C61" s="1323" t="s">
        <v>249</v>
      </c>
      <c r="D61" s="1323" t="s">
        <v>250</v>
      </c>
      <c r="E61" s="2346"/>
      <c r="F61" s="2346"/>
      <c r="G61" s="2346"/>
      <c r="H61" s="2366"/>
      <c r="I61" s="1323"/>
      <c r="J61" s="1323"/>
      <c r="K61" s="1323"/>
      <c r="L61" s="1323"/>
      <c r="M61" s="1366"/>
      <c r="N61" s="744"/>
      <c r="O61" s="744"/>
      <c r="P61" s="565"/>
      <c r="Q61" s="416"/>
      <c r="R61" s="431"/>
      <c r="S61" s="411"/>
      <c r="T61" s="416"/>
      <c r="U61" s="1442"/>
      <c r="V61" s="1443"/>
      <c r="W61" s="1444"/>
      <c r="X61" s="1444"/>
      <c r="Y61" s="1444"/>
      <c r="Z61" s="1444"/>
      <c r="AA61" s="1444"/>
      <c r="AB61" s="1444"/>
      <c r="AC61" s="1444"/>
      <c r="AD61" s="1444"/>
      <c r="AE61" s="1444"/>
      <c r="AF61" s="1444"/>
      <c r="AG61" s="1444"/>
      <c r="AH61" s="1444"/>
      <c r="AI61" s="1444"/>
      <c r="AJ61" s="1444"/>
      <c r="AK61" s="1444"/>
      <c r="AL61" s="1444"/>
      <c r="AM61" s="1444"/>
      <c r="AN61" s="1444"/>
      <c r="AO61" s="1444"/>
      <c r="AP61" s="1444"/>
      <c r="AQ61" s="1445"/>
      <c r="AS61" s="556"/>
      <c r="AT61" s="556" t="str">
        <f>IF(V61="","",V61)</f>
        <v/>
      </c>
      <c r="AU61" s="556"/>
      <c r="AV61" s="556"/>
      <c r="AW61" s="1211">
        <v>0</v>
      </c>
    </row>
    <row s="2851" customFormat="1" customHeight="1" ht="0">
      <c r="A62" s="1431" t="s">
        <v>247</v>
      </c>
      <c r="B62" s="1431" t="s">
        <v>248</v>
      </c>
      <c r="C62" s="1431" t="s">
        <v>249</v>
      </c>
      <c r="D62" s="1430"/>
      <c r="E62" s="2346"/>
      <c r="F62" s="2346"/>
      <c r="G62" s="2345"/>
      <c r="H62" s="1430"/>
      <c r="I62" s="1430"/>
      <c r="J62" s="1430"/>
      <c r="K62" s="1430"/>
      <c r="L62" s="1430"/>
      <c r="M62" s="1433"/>
      <c r="N62" s="1434"/>
      <c r="O62" s="1434"/>
      <c r="P62" s="407"/>
      <c r="Q62" s="1372"/>
      <c r="R62" s="1373"/>
      <c r="S62" s="1372"/>
      <c r="T62" s="1372"/>
      <c r="U62" s="1378"/>
      <c r="V62" s="1381" t="s">
        <v>546</v>
      </c>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S62" s="845"/>
      <c r="AT62" s="845" t="str">
        <f>IF(V62="","",V62)</f>
        <v>Добавить источник для дифференциации</v>
      </c>
      <c r="AU62" s="845"/>
      <c r="AV62" s="845"/>
      <c r="AW62" s="574">
        <v>0</v>
      </c>
    </row>
    <row s="2851" customFormat="1" customHeight="1" ht="0">
      <c r="A63" s="1431" t="s">
        <v>247</v>
      </c>
      <c r="B63" s="1431" t="s">
        <v>248</v>
      </c>
      <c r="C63" s="1430"/>
      <c r="D63" s="1430"/>
      <c r="E63" s="2346"/>
      <c r="F63" s="2345"/>
      <c r="G63" s="1430"/>
      <c r="H63" s="1430"/>
      <c r="I63" s="1430"/>
      <c r="J63" s="1430"/>
      <c r="K63" s="1430"/>
      <c r="L63" s="1430"/>
      <c r="M63" s="1433"/>
      <c r="N63" s="1435"/>
      <c r="O63" s="1435"/>
      <c r="P63" s="407"/>
      <c r="Q63" s="1372"/>
      <c r="R63" s="1373"/>
      <c r="S63" s="1372"/>
      <c r="T63" s="1372"/>
      <c r="U63" s="1378"/>
      <c r="V63" s="1381" t="s">
        <v>302</v>
      </c>
      <c r="W63" s="1380"/>
      <c r="X63" s="1380"/>
      <c r="Y63" s="1380"/>
      <c r="Z63" s="1380"/>
      <c r="AA63" s="1380"/>
      <c r="AB63" s="1380"/>
      <c r="AC63" s="1380"/>
      <c r="AD63" s="1380"/>
      <c r="AE63" s="1380"/>
      <c r="AF63" s="1380"/>
      <c r="AG63" s="1380"/>
      <c r="AH63" s="1380"/>
      <c r="AI63" s="1380"/>
      <c r="AJ63" s="1380"/>
      <c r="AK63" s="1380"/>
      <c r="AL63" s="1380"/>
      <c r="AM63" s="1380"/>
      <c r="AN63" s="1380"/>
      <c r="AO63" s="1380"/>
      <c r="AP63" s="1380"/>
      <c r="AQ63" s="1380"/>
      <c r="AS63" s="845"/>
      <c r="AT63" s="845" t="str">
        <f>IF(V63="","",V63)</f>
        <v>Добавить централизованную систему для дифференциации</v>
      </c>
      <c r="AU63" s="845"/>
      <c r="AV63" s="845"/>
      <c r="AW63" s="574">
        <v>0</v>
      </c>
    </row>
    <row s="2851" customFormat="1" customHeight="1" ht="0">
      <c r="A64" s="1431" t="s">
        <v>247</v>
      </c>
      <c r="B64" s="1431"/>
      <c r="C64" s="1431"/>
      <c r="D64" s="1431"/>
      <c r="E64" s="2345"/>
      <c r="F64" s="1431"/>
      <c r="G64" s="1431"/>
      <c r="H64" s="1431"/>
      <c r="I64" s="1431"/>
      <c r="J64" s="1431"/>
      <c r="K64" s="1431"/>
      <c r="L64" s="1431"/>
      <c r="M64" s="1437"/>
      <c r="N64" s="1435"/>
      <c r="O64" s="1435"/>
      <c r="P64" s="407"/>
      <c r="Q64" s="436"/>
      <c r="R64" s="1400"/>
      <c r="S64" s="436"/>
      <c r="T64" s="436"/>
      <c r="U64" s="1378"/>
      <c r="V64" s="1381" t="s">
        <v>359</v>
      </c>
      <c r="W64" s="1380"/>
      <c r="X64" s="1380"/>
      <c r="Y64" s="1380"/>
      <c r="Z64" s="1380"/>
      <c r="AA64" s="1380"/>
      <c r="AB64" s="1380"/>
      <c r="AC64" s="1380"/>
      <c r="AD64" s="1380"/>
      <c r="AE64" s="1380"/>
      <c r="AF64" s="1380"/>
      <c r="AG64" s="1380"/>
      <c r="AH64" s="1380"/>
      <c r="AI64" s="1380"/>
      <c r="AJ64" s="1380"/>
      <c r="AK64" s="1380"/>
      <c r="AL64" s="1380"/>
      <c r="AM64" s="1380"/>
      <c r="AN64" s="1380"/>
      <c r="AO64" s="1380"/>
      <c r="AP64" s="1380"/>
      <c r="AQ64" s="1380"/>
      <c r="AS64" s="556"/>
      <c r="AT64" s="556" t="str">
        <f>IF(V64="","",V64)</f>
        <v>Добавить территорию для дифференциации</v>
      </c>
      <c r="AU64" s="556"/>
      <c r="AV64" s="556"/>
      <c r="AW64" s="567">
        <v>0</v>
      </c>
    </row>
    <row s="2851" customFormat="1" customHeight="1" ht="4.2">
      <c r="A65" s="1430"/>
      <c r="B65" s="1430"/>
      <c r="C65" s="1430"/>
      <c r="D65" s="1430"/>
      <c r="E65" s="1431"/>
      <c r="F65" s="1430"/>
      <c r="G65" s="1430"/>
      <c r="H65" s="1430"/>
      <c r="I65" s="1430"/>
      <c r="J65" s="1430"/>
      <c r="K65" s="1430"/>
      <c r="L65" s="1430"/>
      <c r="M65" s="1433"/>
      <c r="N65" s="1435"/>
      <c r="O65" s="1435"/>
      <c r="P65" s="407"/>
      <c r="Q65" s="1372"/>
      <c r="R65" s="1373"/>
      <c r="S65" s="1372"/>
      <c r="T65" s="1372"/>
      <c r="U65" s="1378"/>
      <c r="V65" s="1381" t="s">
        <v>360</v>
      </c>
      <c r="W65" s="1380"/>
      <c r="X65" s="1380"/>
      <c r="Y65" s="1380"/>
      <c r="Z65" s="1380"/>
      <c r="AA65" s="1380"/>
      <c r="AB65" s="1380"/>
      <c r="AC65" s="1380"/>
      <c r="AD65" s="1380"/>
      <c r="AE65" s="1380"/>
      <c r="AF65" s="1380"/>
      <c r="AG65" s="1380"/>
      <c r="AH65" s="1380"/>
      <c r="AI65" s="1380"/>
      <c r="AJ65" s="1380"/>
      <c r="AK65" s="1380"/>
      <c r="AL65" s="1380"/>
      <c r="AM65" s="1380"/>
      <c r="AN65" s="1380"/>
      <c r="AO65" s="1380"/>
      <c r="AP65" s="1380"/>
      <c r="AQ65" s="1380"/>
      <c r="AS65" s="845"/>
      <c r="AT65" s="845" t="str">
        <f>IF(V65="","",V65)</f>
        <v>Добавить наименование тарифа</v>
      </c>
      <c r="AU65" s="845"/>
      <c r="AV65" s="845"/>
      <c r="AW65" s="574">
        <v>4</v>
      </c>
    </row>
    <row customHeight="1" ht="11.549999999999999">
      <c r="N66" s="1211"/>
      <c r="O66" s="1211"/>
      <c r="P66" s="565"/>
      <c r="Q66" s="1211"/>
      <c r="R66" s="1211"/>
      <c r="S66" s="1211"/>
      <c r="T66" s="1211"/>
      <c r="U66" s="1211"/>
      <c r="AR66" s="1211"/>
      <c r="AS66" s="1211"/>
      <c r="AT66" s="1211"/>
      <c r="AU66" s="1211"/>
      <c r="AV66" s="1211"/>
      <c r="AW66" s="1211">
        <v>11</v>
      </c>
    </row>
    <row customHeight="1" ht="35.699999999999996">
      <c r="P67" s="565"/>
      <c r="U67" s="1309"/>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W67" s="1211">
        <v>34</v>
      </c>
    </row>
    <row customHeight="1" ht="21">
      <c r="P68" s="565"/>
      <c r="V68" s="2341"/>
      <c r="W68" s="2341"/>
      <c r="X68" s="2341"/>
      <c r="Y68" s="2341"/>
      <c r="Z68" s="2341"/>
      <c r="AA68" s="2341"/>
      <c r="AB68" s="2341"/>
      <c r="AC68" s="2341"/>
      <c r="AD68" s="2341"/>
      <c r="AE68" s="2341"/>
      <c r="AF68" s="2341"/>
      <c r="AG68" s="2341"/>
      <c r="AH68" s="2341"/>
      <c r="AI68" s="2341"/>
      <c r="AJ68" s="2341"/>
      <c r="AK68" s="2341"/>
      <c r="AL68" s="2341"/>
      <c r="AM68" s="2341"/>
      <c r="AN68" s="2341"/>
      <c r="AO68" s="2341"/>
      <c r="AP68" s="2341"/>
      <c r="AQ68" s="2341"/>
      <c r="AW68" s="1211">
        <v>20</v>
      </c>
    </row>
    <row customHeight="1" ht="14.699999999999998">
      <c r="P69" s="565"/>
      <c r="AW69" s="1211">
        <v>14</v>
      </c>
    </row>
    <row customHeight="1" ht="28.5">
      <c r="P70" s="565"/>
      <c r="V70" s="2341"/>
      <c r="W70" s="2341"/>
      <c r="X70" s="2341"/>
      <c r="Y70" s="2341"/>
      <c r="Z70" s="2341"/>
      <c r="AA70" s="2341"/>
      <c r="AB70" s="2341"/>
      <c r="AC70" s="2341"/>
      <c r="AD70" s="2341"/>
      <c r="AE70" s="2341"/>
      <c r="AF70" s="2341"/>
      <c r="AG70" s="2341"/>
      <c r="AH70" s="2341"/>
      <c r="AI70" s="2341"/>
      <c r="AJ70" s="2341"/>
      <c r="AK70" s="2341"/>
      <c r="AL70" s="2341"/>
      <c r="AM70" s="2341"/>
      <c r="AN70" s="2341"/>
      <c r="AO70" s="2341"/>
      <c r="AP70" s="2341"/>
      <c r="AQ70" s="2341"/>
      <c r="AW70" s="1211">
        <v>27</v>
      </c>
    </row>
    <row customHeight="1" ht="18.75">
      <c r="P71" s="565"/>
      <c r="V71" s="2341"/>
      <c r="W71" s="2341"/>
      <c r="X71" s="2341"/>
      <c r="Y71" s="2341"/>
      <c r="Z71" s="2341"/>
      <c r="AA71" s="2341"/>
      <c r="AB71" s="2341"/>
      <c r="AC71" s="2341"/>
      <c r="AD71" s="2341"/>
      <c r="AE71" s="2341"/>
      <c r="AF71" s="2341"/>
      <c r="AG71" s="2341"/>
      <c r="AH71" s="2341"/>
      <c r="AI71" s="2341"/>
      <c r="AJ71" s="2341"/>
      <c r="AK71" s="2341"/>
      <c r="AL71" s="2341"/>
      <c r="AM71" s="2341"/>
      <c r="AN71" s="2341"/>
      <c r="AO71" s="2341"/>
      <c r="AP71" s="2341"/>
      <c r="AQ71" s="2341"/>
      <c r="AW71" s="1211">
        <v>18</v>
      </c>
    </row>
    <row customHeight="1" ht="22.5" hidden="1">
      <c r="A72" s="1211" t="s">
        <v>86</v>
      </c>
      <c r="B72" s="1211">
        <v>0</v>
      </c>
      <c r="C72" s="1211">
        <v>0</v>
      </c>
      <c r="D72" s="1211">
        <v>0</v>
      </c>
      <c r="E72" s="1211">
        <v>0</v>
      </c>
      <c r="F72" s="1211">
        <v>0</v>
      </c>
      <c r="G72" s="1211">
        <v>0</v>
      </c>
      <c r="H72" s="1211">
        <v>0</v>
      </c>
      <c r="I72" s="1211">
        <v>0</v>
      </c>
      <c r="J72" s="1211">
        <v>0</v>
      </c>
      <c r="K72" s="1211">
        <v>0</v>
      </c>
      <c r="L72" s="1211">
        <v>0</v>
      </c>
      <c r="M72" s="1383">
        <v>0</v>
      </c>
      <c r="N72" s="1384">
        <v>0</v>
      </c>
      <c r="O72" s="1384">
        <v>0</v>
      </c>
      <c r="P72" s="1384">
        <v>0</v>
      </c>
      <c r="Q72" s="1384">
        <v>0</v>
      </c>
      <c r="R72" s="400">
        <v>3</v>
      </c>
      <c r="S72" s="400">
        <v>3</v>
      </c>
      <c r="T72" s="400">
        <v>3</v>
      </c>
      <c r="U72" s="637">
        <v>12</v>
      </c>
      <c r="V72" s="1211">
        <v>31</v>
      </c>
      <c r="W72" s="1211">
        <v>0</v>
      </c>
      <c r="X72" s="1211">
        <v>0</v>
      </c>
      <c r="Y72" s="1211">
        <v>0</v>
      </c>
      <c r="Z72" s="1211">
        <v>0</v>
      </c>
      <c r="AA72" s="1211">
        <v>0</v>
      </c>
      <c r="AB72" s="1211">
        <v>0</v>
      </c>
      <c r="AC72" s="1211">
        <v>0</v>
      </c>
      <c r="AD72" s="1211">
        <v>0</v>
      </c>
      <c r="AE72" s="1211">
        <v>0</v>
      </c>
      <c r="AF72" s="1211">
        <v>0</v>
      </c>
      <c r="AG72" s="1211">
        <v>21</v>
      </c>
      <c r="AH72" s="1211">
        <v>21</v>
      </c>
      <c r="AI72" s="1211">
        <v>21</v>
      </c>
      <c r="AJ72" s="1211">
        <v>21</v>
      </c>
      <c r="AK72" s="1211">
        <v>21</v>
      </c>
      <c r="AL72" s="1211">
        <v>11</v>
      </c>
      <c r="AM72" s="1211">
        <v>3</v>
      </c>
      <c r="AN72" s="1211">
        <v>11</v>
      </c>
      <c r="AO72" s="1211">
        <v>8</v>
      </c>
      <c r="AP72" s="1211">
        <v>4</v>
      </c>
      <c r="AQ72" s="1211">
        <v>115</v>
      </c>
      <c r="AR72" s="567">
        <v>10</v>
      </c>
      <c r="AS72" s="567">
        <v>10</v>
      </c>
      <c r="AT72" s="567">
        <v>10</v>
      </c>
      <c r="AU72" s="567">
        <v>10</v>
      </c>
      <c r="AV72" s="567">
        <v>10</v>
      </c>
      <c r="AW72" s="1211">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CA45901-1C4E-2ACB-2A3F-64F7F16EB713}" mc:Ignorable="x14ac xr xr2 xr3">
  <sheetPr>
    <tabColor rgb="FFCCCCFF"/>
  </sheetPr>
  <dimension ref="A1:Q79"/>
  <sheetViews>
    <sheetView topLeftCell="A1" showGridLines="0" zoomScale="90" workbookViewId="0">
      <selection activeCell="F74" sqref="F74"/>
    </sheetView>
  </sheetViews>
  <sheetFormatPr defaultColWidth="9.140625" customHeight="1" defaultRowHeight="11.25"/>
  <cols>
    <col min="1" max="1" style="2834" width="10.7109375" hidden="1" customWidth="1"/>
    <col min="2" max="2" style="2848" width="10.7109375" hidden="1" customWidth="1"/>
    <col min="3" max="3" style="2822" width="3.00390625" customWidth="1"/>
    <col min="4" max="4" style="2774" width="1.00390625" customWidth="1"/>
    <col min="5" max="6" style="2774" width="55.00390625" customWidth="1"/>
    <col min="7" max="7" style="2849" width="1.00390625" customWidth="1"/>
    <col min="8" max="8" style="2774" width="18.00390625" hidden="1" customWidth="1"/>
    <col min="9" max="9" style="2823" width="59.00390625" customWidth="1"/>
    <col min="10" max="10" style="2850" width="52.140625" hidden="1" customWidth="1"/>
    <col min="11" max="11" style="2774" width="8.00390625" customWidth="1"/>
    <col min="12" max="12" style="2774" width="77.00390625" customWidth="1"/>
    <col min="13" max="16" style="2774" width="8.00390625" customWidth="1"/>
    <col min="17" max="17" style="2774" width="12.00390625" hidden="1" customWidth="1"/>
  </cols>
  <sheetData>
    <row s="2731" customFormat="1" customHeight="1" ht="3">
      <c r="A1" s="839"/>
      <c r="B1" s="297"/>
      <c r="F1" s="298" t="s">
        <v>13</v>
      </c>
      <c r="G1" s="467"/>
      <c r="H1" s="127"/>
      <c r="I1" s="467"/>
      <c r="J1" s="927"/>
      <c r="Q1" s="298" t="s">
        <v>14</v>
      </c>
    </row>
    <row s="2738" customFormat="1" customHeight="1" ht="14.25">
      <c r="A2" s="839"/>
      <c r="B2" s="154"/>
      <c r="E2" s="1796" t="str">
        <f>code</f>
        <v>Код отчёта: PP108.OPEN.INFO.PRICE.COLDVSNA.EIAS</v>
      </c>
      <c r="F2" s="325"/>
      <c r="G2" s="301"/>
      <c r="H2" s="301"/>
      <c r="I2" s="301"/>
      <c r="J2" s="928"/>
      <c r="K2" s="301"/>
      <c r="Q2" s="127">
        <v>14</v>
      </c>
    </row>
    <row customHeight="1" ht="14.699999999999998">
      <c r="E3" s="302" t="str">
        <f>version</f>
        <v>Версия отчёта: 1.1.1</v>
      </c>
      <c r="F3" s="325"/>
      <c r="G3" s="826"/>
      <c r="H3" s="826"/>
      <c r="I3" s="826"/>
      <c r="J3" s="929"/>
      <c r="K3" s="144"/>
      <c r="Q3" s="130">
        <v>14</v>
      </c>
    </row>
    <row s="2749" customFormat="1" customHeight="1" ht="6.3">
      <c r="A4" s="840"/>
      <c r="B4" s="288"/>
      <c r="C4" s="289"/>
      <c r="D4" s="290"/>
      <c r="E4" s="299"/>
      <c r="F4" s="300"/>
      <c r="G4" s="827"/>
      <c r="H4" s="465"/>
      <c r="I4" s="467"/>
      <c r="J4" s="930"/>
      <c r="Q4" s="292">
        <v>6</v>
      </c>
    </row>
    <row customHeight="1" ht="39.75">
      <c r="D5" s="131"/>
      <c r="E5" s="2151" t="str">
        <f>NameTemplatesInTitle</f>
        <v>Показатели, подлежащие раскрытию в сфере холодного водоснабжения (цены и тарифы)</v>
      </c>
      <c r="F5" s="2152"/>
      <c r="G5" s="828"/>
      <c r="J5" s="931"/>
      <c r="Q5" s="130">
        <v>38</v>
      </c>
    </row>
    <row s="2749" customFormat="1" customHeight="1" ht="6.3">
      <c r="A6" s="840"/>
      <c r="B6" s="288"/>
      <c r="C6" s="289"/>
      <c r="D6" s="290"/>
      <c r="E6" s="293"/>
      <c r="F6" s="294"/>
      <c r="G6" s="828"/>
      <c r="H6" s="465"/>
      <c r="I6" s="467"/>
      <c r="J6" s="930"/>
      <c r="Q6" s="292">
        <v>6</v>
      </c>
    </row>
    <row customHeight="1" ht="21">
      <c r="D7" s="131"/>
      <c r="E7" s="447" t="s">
        <v>15</v>
      </c>
      <c r="F7" s="271" t="s">
        <v>16</v>
      </c>
      <c r="G7" s="828"/>
      <c r="Q7" s="130">
        <v>20</v>
      </c>
    </row>
    <row s="2749" customFormat="1" customHeight="1" ht="6.3">
      <c r="A8" s="841"/>
      <c r="B8" s="288"/>
      <c r="C8" s="289"/>
      <c r="D8" s="295"/>
      <c r="E8" s="293"/>
      <c r="F8" s="296"/>
      <c r="G8" s="133"/>
      <c r="H8" s="465"/>
      <c r="I8" s="467"/>
      <c r="J8" s="933"/>
      <c r="Q8" s="292">
        <v>6</v>
      </c>
    </row>
    <row s="2774" customFormat="1" customHeight="1" ht="19.5" hidden="1">
      <c r="A9" s="840"/>
      <c r="B9" s="154"/>
      <c r="C9" s="464"/>
      <c r="D9" s="466"/>
      <c r="E9" s="1221" t="s">
        <v>17</v>
      </c>
      <c r="F9" s="1977"/>
      <c r="G9" s="828"/>
      <c r="I9" s="1956" t="str">
        <f>IF(TITLE_STRUCTURE_INFO_ROIV="","","раскрывается "&amp;INDEX(ROIV_INFO_COMMENT,MATCH(TITLE_STRUCTURE_INFO_ROIV,ROIV_INFO_LIST,0)))</f>
        <v/>
      </c>
      <c r="J9" s="932"/>
      <c r="Q9" s="465">
        <v>0</v>
      </c>
    </row>
    <row s="2749" customFormat="1" customHeight="1" ht="24" hidden="1">
      <c r="A10" s="841"/>
      <c r="B10" s="482"/>
      <c r="C10" s="483"/>
      <c r="D10" s="295"/>
      <c r="E10" s="1221" t="s">
        <v>18</v>
      </c>
      <c r="F10" s="2122" t="s">
        <v>19</v>
      </c>
      <c r="G10" s="133"/>
      <c r="H10" s="465"/>
      <c r="I10" s="467"/>
      <c r="J10" s="933"/>
      <c r="Q10" s="486">
        <v>24</v>
      </c>
    </row>
    <row customHeight="1" ht="22.5">
      <c r="A11" s="2154" t="s">
        <v>20</v>
      </c>
      <c r="D11" s="131"/>
      <c r="E11" s="1221" t="s">
        <v>21</v>
      </c>
      <c r="F11" s="2786">
        <v>45292</v>
      </c>
      <c r="G11" s="133"/>
      <c r="H11" s="829" t="s">
        <v>22</v>
      </c>
      <c r="J11" s="932" t="s">
        <v>23</v>
      </c>
      <c r="Q11" s="130">
        <v>0</v>
      </c>
    </row>
    <row customHeight="1" ht="22.5">
      <c r="A12" s="2154"/>
      <c r="D12" s="131"/>
      <c r="E12" s="1221" t="s">
        <v>24</v>
      </c>
      <c r="F12" s="2786">
        <v>47118</v>
      </c>
      <c r="G12" s="129"/>
      <c r="J12" s="932" t="s">
        <v>25</v>
      </c>
      <c r="Q12" s="130">
        <v>0</v>
      </c>
    </row>
    <row s="2774" customFormat="1" customHeight="1" ht="22.5" hidden="1">
      <c r="A13" s="844" t="s">
        <v>26</v>
      </c>
      <c r="B13" s="154"/>
      <c r="C13" s="464"/>
      <c r="D13" s="466"/>
      <c r="E13" s="1831" t="s">
        <v>27</v>
      </c>
      <c r="F13" s="1788" t="s">
        <v>28</v>
      </c>
      <c r="G13" s="133"/>
      <c r="H13" s="826"/>
      <c r="I13" s="467"/>
      <c r="J13" s="1832" t="s">
        <v>29</v>
      </c>
      <c r="Q13" s="465">
        <v>0</v>
      </c>
    </row>
    <row s="2774" customFormat="1" customHeight="1" ht="27" hidden="1">
      <c r="A14" s="844" t="s">
        <v>30</v>
      </c>
      <c r="B14" s="154"/>
      <c r="C14" s="464"/>
      <c r="D14" s="466"/>
      <c r="E14" s="1221" t="s">
        <v>31</v>
      </c>
      <c r="F14" s="1823"/>
      <c r="G14" s="133"/>
      <c r="H14" s="826"/>
      <c r="I14" s="467"/>
      <c r="J14" s="932" t="s">
        <v>32</v>
      </c>
      <c r="Q14" s="465">
        <v>0</v>
      </c>
    </row>
    <row s="2774" customFormat="1" customHeight="1" ht="19.5" hidden="1">
      <c r="A15" s="844" t="s">
        <v>33</v>
      </c>
      <c r="B15" s="154"/>
      <c r="C15" s="464"/>
      <c r="D15" s="466"/>
      <c r="E15" s="1221" t="s">
        <v>34</v>
      </c>
      <c r="F15" s="1823"/>
      <c r="G15" s="133"/>
      <c r="H15" s="826"/>
      <c r="I15" s="467"/>
      <c r="J15" s="932" t="s">
        <v>35</v>
      </c>
      <c r="Q15" s="465">
        <v>0</v>
      </c>
    </row>
    <row s="2749" customFormat="1" customHeight="1" ht="6.3">
      <c r="A16" s="841"/>
      <c r="B16" s="288"/>
      <c r="C16" s="289"/>
      <c r="D16" s="295"/>
      <c r="E16" s="293"/>
      <c r="F16" s="296"/>
      <c r="G16" s="133"/>
      <c r="H16" s="465"/>
      <c r="I16" s="467"/>
      <c r="J16" s="930"/>
      <c r="Q16" s="292">
        <v>6</v>
      </c>
    </row>
    <row customHeight="1" ht="21">
      <c r="D17" s="131"/>
      <c r="E17" s="447" t="s">
        <v>36</v>
      </c>
      <c r="F17" s="2794" t="s">
        <v>37</v>
      </c>
      <c r="G17" s="129"/>
      <c r="H17" s="829" t="s">
        <v>22</v>
      </c>
      <c r="Q17" s="130">
        <v>20</v>
      </c>
    </row>
    <row customHeight="1" ht="25.5">
      <c r="D18" s="131"/>
      <c r="E18" s="1831" t="s">
        <v>38</v>
      </c>
      <c r="F18" s="2795">
        <v>45645</v>
      </c>
      <c r="G18" s="129"/>
      <c r="I18" s="830"/>
      <c r="J18" s="2153" t="s">
        <v>39</v>
      </c>
      <c r="Q18" s="130">
        <v>0</v>
      </c>
    </row>
    <row customHeight="1" ht="25.5">
      <c r="D19" s="131"/>
      <c r="E19" s="122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795">
        <v>45658</v>
      </c>
      <c r="G19" s="129"/>
      <c r="I19" s="830"/>
      <c r="J19" s="2153"/>
      <c r="Q19" s="130">
        <v>0</v>
      </c>
    </row>
    <row customHeight="1" ht="22.5">
      <c r="D20" s="131"/>
      <c r="E20" s="132"/>
      <c r="F20" s="326" t="str">
        <f>"Первичное "&amp;IF(TEMPLATE_GROUP="P","установление тарифов","предложение по тарифам")</f>
        <v>Первичное установление тарифов</v>
      </c>
      <c r="G20" s="129"/>
      <c r="I20" s="450"/>
      <c r="J20" s="931" t="s">
        <v>40</v>
      </c>
      <c r="Q20" s="130">
        <v>0</v>
      </c>
    </row>
    <row customHeight="1" ht="19.5">
      <c r="D21" s="131"/>
      <c r="E21" s="447" t="str">
        <f>"Дата "&amp;IF(TEMPLATE_GROUP="P","документа","подачи заявления")&amp;" об утверждении тарифов"</f>
        <v>Дата документа об утверждении тарифов</v>
      </c>
      <c r="F21" s="2786">
        <v>45246</v>
      </c>
      <c r="G21" s="129"/>
      <c r="I21" s="831"/>
      <c r="Q21" s="130">
        <v>0</v>
      </c>
    </row>
    <row customHeight="1" ht="19.5">
      <c r="D22" s="131"/>
      <c r="E22" s="447" t="str">
        <f>"Номер "&amp;IF(TEMPLATE_GROUP="P","документа","подачи заявления")&amp;" об утверждении тарифов"</f>
        <v>Номер документа об утверждении тарифов</v>
      </c>
      <c r="F22" s="272" t="s">
        <v>41</v>
      </c>
      <c r="G22" s="129"/>
      <c r="I22" s="831"/>
      <c r="Q22" s="130">
        <v>0</v>
      </c>
    </row>
    <row customHeight="1" ht="22.5">
      <c r="D23" s="131"/>
      <c r="E23" s="447" t="s">
        <v>42</v>
      </c>
      <c r="F23" s="272" t="s">
        <v>43</v>
      </c>
      <c r="G23" s="129"/>
      <c r="Q23" s="130">
        <v>0</v>
      </c>
    </row>
    <row customHeight="1" ht="19.5">
      <c r="D24" s="131"/>
      <c r="E24" s="447" t="s">
        <v>44</v>
      </c>
      <c r="F24" s="272" t="s">
        <v>45</v>
      </c>
      <c r="G24" s="129"/>
      <c r="Q24" s="130">
        <v>0</v>
      </c>
    </row>
    <row customHeight="1" ht="22.5">
      <c r="D25" s="131"/>
      <c r="E25" s="132"/>
      <c r="F25" s="326" t="str">
        <f>"Изменение "&amp;IF(TEMPLATE_GROUP="P","тарифов","предложения по тарифам")</f>
        <v>Изменение тарифов</v>
      </c>
      <c r="G25" s="129"/>
      <c r="J25" s="931" t="s">
        <v>46</v>
      </c>
      <c r="Q25" s="130">
        <v>0</v>
      </c>
    </row>
    <row customHeight="1" ht="19.5">
      <c r="D26" s="131"/>
      <c r="E26" s="447" t="str">
        <f>"Дата "&amp;IF(TEMPLATE_GROUP="P","принятия решения","подачи заявления")&amp;" об изменении тарифов"</f>
        <v>Дата принятия решения об изменении тарифов</v>
      </c>
      <c r="F26" s="2795">
        <v>45645</v>
      </c>
      <c r="G26" s="129"/>
      <c r="Q26" s="130">
        <v>0</v>
      </c>
    </row>
    <row customHeight="1" ht="19.5">
      <c r="D27" s="131"/>
      <c r="E27" s="1221" t="str">
        <f>"Номер "&amp;IF(TEMPLATE_GROUP="P","принятия решения","заявления")&amp;" об изменении тарифов"</f>
        <v>Номер принятия решения об изменении тарифов</v>
      </c>
      <c r="F27" s="2803" t="s">
        <v>47</v>
      </c>
      <c r="G27" s="129"/>
      <c r="Q27" s="130">
        <v>0</v>
      </c>
    </row>
    <row customHeight="1" ht="24.75">
      <c r="D28" s="131"/>
      <c r="E28" s="447" t="s">
        <v>48</v>
      </c>
      <c r="F28" s="2803" t="s">
        <v>49</v>
      </c>
      <c r="G28" s="129"/>
      <c r="Q28" s="130">
        <v>0</v>
      </c>
    </row>
    <row customHeight="1" ht="19.5">
      <c r="D29" s="131"/>
      <c r="E29" s="447" t="s">
        <v>44</v>
      </c>
      <c r="F29" s="2803" t="s">
        <v>50</v>
      </c>
      <c r="G29" s="129"/>
      <c r="Q29" s="130">
        <v>0</v>
      </c>
    </row>
    <row s="2749" customFormat="1" customHeight="1" ht="6.3">
      <c r="A30" s="841"/>
      <c r="B30" s="288"/>
      <c r="C30" s="289"/>
      <c r="D30" s="295"/>
      <c r="E30" s="293"/>
      <c r="F30" s="296"/>
      <c r="G30" s="133"/>
      <c r="H30" s="465"/>
      <c r="I30" s="467"/>
      <c r="J30" s="930"/>
      <c r="Q30" s="292">
        <v>6</v>
      </c>
    </row>
    <row customHeight="1" ht="21">
      <c r="C31" s="134"/>
      <c r="D31" s="135"/>
      <c r="E31" s="447" t="str">
        <f>"Наименование "&amp;IF(TEMPLATE_GROUP="ROIV","органа тарифного регулирования","ЮЛ / ИП")</f>
        <v>Наименование ЮЛ / ИП</v>
      </c>
      <c r="F31" s="273" t="s">
        <v>51</v>
      </c>
      <c r="G31" s="832"/>
      <c r="Q31" s="130">
        <v>20</v>
      </c>
    </row>
    <row customHeight="1" ht="21" hidden="1">
      <c r="C32" s="134"/>
      <c r="D32" s="135"/>
      <c r="E32" s="448" t="s">
        <v>52</v>
      </c>
      <c r="F32" s="273"/>
      <c r="G32" s="832"/>
      <c r="Q32" s="130">
        <v>20</v>
      </c>
    </row>
    <row customHeight="1" ht="21">
      <c r="C33" s="134"/>
      <c r="D33" s="135"/>
      <c r="E33" s="447" t="s">
        <v>53</v>
      </c>
      <c r="F33" s="273" t="s">
        <v>54</v>
      </c>
      <c r="G33" s="832"/>
      <c r="Q33" s="130">
        <v>20</v>
      </c>
    </row>
    <row customHeight="1" ht="21">
      <c r="C34" s="134"/>
      <c r="D34" s="135"/>
      <c r="E34" s="447" t="s">
        <v>55</v>
      </c>
      <c r="F34" s="273" t="s">
        <v>56</v>
      </c>
      <c r="G34" s="832"/>
      <c r="H34" s="136"/>
      <c r="Q34" s="130">
        <v>20</v>
      </c>
    </row>
    <row s="2749" customFormat="1" customHeight="1" ht="11.549999999999999">
      <c r="A35" s="841"/>
      <c r="B35" s="288"/>
      <c r="C35" s="289"/>
      <c r="D35" s="295"/>
      <c r="E35" s="293"/>
      <c r="F35" s="296"/>
      <c r="G35" s="133"/>
      <c r="H35" s="465"/>
      <c r="I35" s="467"/>
      <c r="J35" s="930"/>
      <c r="Q35" s="292">
        <v>11</v>
      </c>
    </row>
    <row customHeight="1" ht="19.5" hidden="1">
      <c r="A36" s="935"/>
      <c r="D36" s="135"/>
      <c r="E36" s="447" t="s">
        <v>57</v>
      </c>
      <c r="F36" s="404"/>
      <c r="G36" s="133"/>
      <c r="Q36" s="130">
        <v>0</v>
      </c>
    </row>
    <row customHeight="1" ht="21">
      <c r="A37" s="935"/>
      <c r="D37" s="135"/>
      <c r="E37" s="447" t="s">
        <v>58</v>
      </c>
      <c r="F37" s="2812" t="s">
        <v>59</v>
      </c>
      <c r="G37" s="133"/>
      <c r="Q37" s="130">
        <v>20</v>
      </c>
    </row>
    <row s="2749" customFormat="1" customHeight="1" ht="6.3">
      <c r="A38" s="841"/>
      <c r="B38" s="288"/>
      <c r="C38" s="289"/>
      <c r="D38" s="290"/>
      <c r="E38" s="291"/>
      <c r="F38" s="1109"/>
      <c r="G38" s="129"/>
      <c r="H38" s="465"/>
      <c r="I38" s="467"/>
      <c r="J38" s="932"/>
      <c r="Q38" s="292">
        <v>6</v>
      </c>
    </row>
    <row customHeight="1" ht="36.75">
      <c r="A39" s="841"/>
      <c r="D39" s="131"/>
      <c r="E39" s="447" t="s">
        <v>60</v>
      </c>
      <c r="F39" s="766" t="s">
        <v>19</v>
      </c>
      <c r="G39" s="129"/>
      <c r="H39" s="829" t="s">
        <v>22</v>
      </c>
      <c r="Q39" s="130">
        <v>35</v>
      </c>
    </row>
    <row s="2749" customFormat="1" customHeight="1" ht="6.3" hidden="1">
      <c r="A40" s="840"/>
      <c r="B40" s="482"/>
      <c r="C40" s="483"/>
      <c r="D40" s="484"/>
      <c r="E40" s="485"/>
      <c r="F40" s="1109"/>
      <c r="G40" s="129"/>
      <c r="H40" s="465"/>
      <c r="I40" s="467"/>
      <c r="J40" s="932"/>
      <c r="Q40" s="486">
        <v>6</v>
      </c>
    </row>
    <row s="2774" customFormat="1" customHeight="1" ht="26.25" hidden="1">
      <c r="A41" s="844" t="s">
        <v>26</v>
      </c>
      <c r="B41" s="469"/>
      <c r="C41" s="464"/>
      <c r="D41" s="466"/>
      <c r="E41" s="447"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766" t="s">
        <v>19</v>
      </c>
      <c r="G41" s="129"/>
      <c r="I41" s="467"/>
      <c r="J41" s="932"/>
      <c r="Q41" s="465">
        <v>0</v>
      </c>
    </row>
    <row s="2749" customFormat="1" customHeight="1" ht="6" hidden="1">
      <c r="A42" s="840"/>
      <c r="B42" s="482"/>
      <c r="C42" s="483"/>
      <c r="D42" s="484"/>
      <c r="E42" s="485"/>
      <c r="F42" s="1109"/>
      <c r="G42" s="129"/>
      <c r="H42" s="465"/>
      <c r="I42" s="467"/>
      <c r="J42" s="930"/>
      <c r="Q42" s="486">
        <v>0</v>
      </c>
    </row>
    <row s="2774" customFormat="1" customHeight="1" ht="27" hidden="1">
      <c r="A43" s="840"/>
      <c r="B43" s="469"/>
      <c r="C43" s="464"/>
      <c r="D43" s="466"/>
      <c r="E43" s="447" t="s">
        <v>61</v>
      </c>
      <c r="F43" s="766" t="s">
        <v>19</v>
      </c>
      <c r="G43" s="129"/>
      <c r="I43" s="467"/>
      <c r="J43" s="932"/>
      <c r="Q43" s="465">
        <v>0</v>
      </c>
    </row>
    <row s="2774" customFormat="1" customHeight="1" ht="27" hidden="1">
      <c r="A44" s="840"/>
      <c r="B44" s="469"/>
      <c r="C44" s="464"/>
      <c r="D44" s="466"/>
      <c r="E44" s="1221" t="s">
        <v>62</v>
      </c>
      <c r="F44" s="1944"/>
      <c r="G44" s="129"/>
      <c r="I44" s="467"/>
      <c r="J44" s="932"/>
      <c r="Q44" s="465">
        <v>0</v>
      </c>
    </row>
    <row s="2749" customFormat="1" customHeight="1" ht="6" hidden="1">
      <c r="A45" s="840"/>
      <c r="B45" s="482"/>
      <c r="C45" s="483"/>
      <c r="D45" s="484"/>
      <c r="E45" s="485"/>
      <c r="F45" s="1109"/>
      <c r="G45" s="129"/>
      <c r="H45" s="465"/>
      <c r="I45" s="467"/>
      <c r="J45" s="932"/>
      <c r="Q45" s="486">
        <v>0</v>
      </c>
    </row>
    <row s="2749" customFormat="1" customHeight="1" ht="24.75" hidden="1">
      <c r="A46" s="840"/>
      <c r="B46" s="482"/>
      <c r="C46" s="483"/>
      <c r="D46" s="484"/>
      <c r="E46" s="1221" t="s">
        <v>63</v>
      </c>
      <c r="F46" s="766" t="s">
        <v>19</v>
      </c>
      <c r="G46" s="129"/>
      <c r="H46" s="465"/>
      <c r="I46" s="467"/>
      <c r="J46" s="932"/>
      <c r="Q46" s="486">
        <v>0</v>
      </c>
    </row>
    <row s="2774" customFormat="1" customHeight="1" ht="24.75" hidden="1">
      <c r="A47" s="840"/>
      <c r="B47" s="469"/>
      <c r="C47" s="464"/>
      <c r="D47" s="466"/>
      <c r="E47" s="1221" t="s">
        <v>64</v>
      </c>
      <c r="F47" s="766" t="s">
        <v>19</v>
      </c>
      <c r="G47" s="129"/>
      <c r="I47" s="467"/>
      <c r="J47" s="932"/>
      <c r="Q47" s="465">
        <v>0</v>
      </c>
    </row>
    <row s="2749" customFormat="1" customHeight="1" ht="6">
      <c r="A48" s="840"/>
      <c r="B48" s="288"/>
      <c r="C48" s="289"/>
      <c r="D48" s="290"/>
      <c r="E48" s="291"/>
      <c r="F48" s="1109"/>
      <c r="G48" s="129"/>
      <c r="H48" s="465"/>
      <c r="I48" s="467"/>
      <c r="J48" s="932"/>
      <c r="Q48" s="292">
        <v>0</v>
      </c>
    </row>
    <row customHeight="1" ht="29.25">
      <c r="B49" s="204"/>
      <c r="D49" s="131"/>
      <c r="E49" s="44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766" t="s">
        <v>65</v>
      </c>
      <c r="G49" s="129"/>
      <c r="Q49" s="130">
        <v>0</v>
      </c>
    </row>
    <row s="2749" customFormat="1" customHeight="1" ht="6" hidden="1">
      <c r="A50" s="841"/>
      <c r="B50" s="482"/>
      <c r="C50" s="483"/>
      <c r="D50" s="295"/>
      <c r="E50" s="293"/>
      <c r="F50" s="296"/>
      <c r="G50" s="133"/>
      <c r="H50" s="465"/>
      <c r="I50" s="467"/>
      <c r="J50" s="932"/>
      <c r="Q50" s="486">
        <v>0</v>
      </c>
    </row>
    <row s="2774" customFormat="1" customHeight="1" ht="28.5" hidden="1">
      <c r="A51" s="842"/>
      <c r="B51" s="469"/>
      <c r="C51" s="586"/>
      <c r="D51" s="587"/>
      <c r="E51" s="447" t="s">
        <v>66</v>
      </c>
      <c r="F51" s="766" t="s">
        <v>19</v>
      </c>
      <c r="G51" s="588"/>
      <c r="I51" s="590"/>
      <c r="J51" s="934"/>
      <c r="P51" s="591"/>
      <c r="Q51" s="589">
        <v>0</v>
      </c>
    </row>
    <row s="2749" customFormat="1" customHeight="1" ht="6" hidden="1">
      <c r="A52" s="841"/>
      <c r="B52" s="482"/>
      <c r="C52" s="483"/>
      <c r="D52" s="295"/>
      <c r="E52" s="293"/>
      <c r="F52" s="296"/>
      <c r="G52" s="133"/>
      <c r="H52" s="465"/>
      <c r="I52" s="467"/>
      <c r="J52" s="930"/>
      <c r="Q52" s="486">
        <v>0</v>
      </c>
    </row>
    <row s="2774" customFormat="1" customHeight="1" ht="27" hidden="1">
      <c r="A53" s="842"/>
      <c r="B53" s="469"/>
      <c r="C53" s="586"/>
      <c r="D53" s="587"/>
      <c r="E53" s="447" t="s">
        <v>67</v>
      </c>
      <c r="F53" s="1104" t="s">
        <v>19</v>
      </c>
      <c r="G53" s="588"/>
      <c r="I53" s="590"/>
      <c r="J53" s="934"/>
      <c r="P53" s="591"/>
      <c r="Q53" s="589">
        <v>0</v>
      </c>
    </row>
    <row s="2774" customFormat="1" customHeight="1" ht="27" hidden="1">
      <c r="A54" s="842"/>
      <c r="B54" s="469"/>
      <c r="C54" s="586"/>
      <c r="D54" s="587"/>
      <c r="E54" s="447" t="s">
        <v>68</v>
      </c>
      <c r="F54" s="1830"/>
      <c r="G54" s="588"/>
      <c r="I54" s="590"/>
      <c r="J54" s="934"/>
      <c r="P54" s="591"/>
      <c r="Q54" s="589">
        <v>0</v>
      </c>
    </row>
    <row s="2749" customFormat="1" customHeight="1" ht="6" hidden="1">
      <c r="A55" s="841"/>
      <c r="B55" s="482"/>
      <c r="C55" s="483"/>
      <c r="D55" s="295"/>
      <c r="E55" s="293"/>
      <c r="F55" s="296"/>
      <c r="G55" s="133"/>
      <c r="H55" s="465"/>
      <c r="I55" s="467"/>
      <c r="J55" s="930"/>
      <c r="Q55" s="486">
        <v>0</v>
      </c>
    </row>
    <row s="2774" customFormat="1" customHeight="1" ht="25.5" hidden="1">
      <c r="A56" s="842"/>
      <c r="B56" s="469"/>
      <c r="C56" s="586"/>
      <c r="D56" s="587"/>
      <c r="E56" s="447" t="s">
        <v>69</v>
      </c>
      <c r="F56" s="1104" t="s">
        <v>19</v>
      </c>
      <c r="G56" s="588"/>
      <c r="I56" s="590"/>
      <c r="J56" s="934"/>
      <c r="P56" s="591"/>
      <c r="Q56" s="589">
        <v>0</v>
      </c>
    </row>
    <row s="2749" customFormat="1" customHeight="1" ht="6" hidden="1">
      <c r="A57" s="841"/>
      <c r="B57" s="482"/>
      <c r="C57" s="483"/>
      <c r="D57" s="295"/>
      <c r="E57" s="293"/>
      <c r="F57" s="296"/>
      <c r="G57" s="133"/>
      <c r="H57" s="465"/>
      <c r="I57" s="467"/>
      <c r="J57" s="930"/>
      <c r="Q57" s="486">
        <v>0</v>
      </c>
    </row>
    <row s="2774" customFormat="1" customHeight="1" ht="15" hidden="1">
      <c r="A58" s="842"/>
      <c r="B58" s="469"/>
      <c r="C58" s="586"/>
      <c r="D58" s="587"/>
      <c r="E58" s="447" t="s">
        <v>70</v>
      </c>
      <c r="F58" s="1104" t="s">
        <v>65</v>
      </c>
      <c r="G58" s="588"/>
      <c r="I58" s="590"/>
      <c r="J58" s="934"/>
      <c r="P58" s="591"/>
      <c r="Q58" s="589">
        <v>0</v>
      </c>
    </row>
    <row s="2774" customFormat="1" customHeight="1" ht="75" hidden="1">
      <c r="A59" s="842"/>
      <c r="B59" s="469"/>
      <c r="C59" s="586"/>
      <c r="D59" s="587"/>
      <c r="E59" s="44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245"/>
      <c r="G59" s="588"/>
      <c r="I59" s="590"/>
      <c r="J59" s="934"/>
      <c r="P59" s="591"/>
      <c r="Q59" s="589">
        <v>0</v>
      </c>
    </row>
    <row s="2774" customFormat="1" customHeight="1" ht="15" hidden="1">
      <c r="A60" s="842"/>
      <c r="B60" s="469"/>
      <c r="C60" s="586"/>
      <c r="D60" s="587"/>
      <c r="E60" s="1221" t="s">
        <v>71</v>
      </c>
      <c r="F60" s="1207"/>
      <c r="G60" s="588"/>
      <c r="I60" s="590"/>
      <c r="J60" s="934"/>
      <c r="P60" s="591"/>
      <c r="Q60" s="589">
        <v>0</v>
      </c>
    </row>
    <row s="2749" customFormat="1" customHeight="1" ht="6" hidden="1">
      <c r="A61" s="841"/>
      <c r="B61" s="482"/>
      <c r="C61" s="483"/>
      <c r="D61" s="484"/>
      <c r="E61" s="485"/>
      <c r="F61" s="1109"/>
      <c r="G61" s="129"/>
      <c r="H61" s="465"/>
      <c r="I61" s="467"/>
      <c r="J61" s="932"/>
      <c r="Q61" s="486">
        <v>0</v>
      </c>
    </row>
    <row s="2774" customFormat="1" customHeight="1" ht="33.75" hidden="1">
      <c r="A62" s="841"/>
      <c r="B62" s="154"/>
      <c r="C62" s="464"/>
      <c r="D62" s="466"/>
      <c r="E62" s="1221" t="s">
        <v>72</v>
      </c>
      <c r="F62" s="1727" t="s">
        <v>65</v>
      </c>
      <c r="G62" s="129"/>
      <c r="H62" s="829" t="s">
        <v>22</v>
      </c>
      <c r="I62" s="467"/>
      <c r="J62" s="932"/>
      <c r="Q62" s="465">
        <v>0</v>
      </c>
    </row>
    <row s="2749" customFormat="1" customHeight="1" ht="6.3">
      <c r="A63" s="841"/>
      <c r="B63" s="288"/>
      <c r="C63" s="289"/>
      <c r="D63" s="295"/>
      <c r="E63" s="293"/>
      <c r="F63" s="296"/>
      <c r="G63" s="133"/>
      <c r="H63" s="465"/>
      <c r="I63" s="467"/>
      <c r="J63" s="930"/>
      <c r="Q63" s="292">
        <v>6</v>
      </c>
    </row>
    <row customHeight="1" ht="21">
      <c r="A64" s="843"/>
      <c r="B64" s="155"/>
      <c r="D64" s="138"/>
      <c r="E64" s="447" t="s">
        <v>73</v>
      </c>
      <c r="F64" s="272" t="s">
        <v>74</v>
      </c>
      <c r="G64" s="133"/>
      <c r="Q64" s="130">
        <v>20</v>
      </c>
    </row>
    <row customHeight="1" ht="21">
      <c r="A65" s="843"/>
      <c r="B65" s="155"/>
      <c r="D65" s="138"/>
      <c r="E65" s="447" t="s">
        <v>75</v>
      </c>
      <c r="F65" s="272" t="s">
        <v>76</v>
      </c>
      <c r="G65" s="133"/>
      <c r="Q65" s="130">
        <v>20</v>
      </c>
    </row>
    <row customHeight="1" ht="36.75">
      <c r="D66" s="131"/>
      <c r="E66" s="449" t="s">
        <v>77</v>
      </c>
      <c r="F66" s="1110"/>
      <c r="G66" s="129"/>
      <c r="Q66" s="130">
        <v>35</v>
      </c>
    </row>
    <row customHeight="1" ht="21">
      <c r="A67" s="843"/>
      <c r="D67" s="466"/>
      <c r="E67" s="447" t="s">
        <v>78</v>
      </c>
      <c r="F67" s="327" t="s">
        <v>79</v>
      </c>
      <c r="G67" s="133"/>
      <c r="Q67" s="130">
        <v>20</v>
      </c>
    </row>
    <row customHeight="1" ht="21">
      <c r="A68" s="843"/>
      <c r="B68" s="155"/>
      <c r="D68" s="138"/>
      <c r="E68" s="447" t="s">
        <v>80</v>
      </c>
      <c r="F68" s="327" t="s">
        <v>81</v>
      </c>
      <c r="G68" s="133"/>
      <c r="Q68" s="130">
        <v>20</v>
      </c>
    </row>
    <row customHeight="1" ht="21">
      <c r="A69" s="843"/>
      <c r="B69" s="155"/>
      <c r="D69" s="138"/>
      <c r="E69" s="447" t="s">
        <v>82</v>
      </c>
      <c r="F69" s="327" t="s">
        <v>83</v>
      </c>
      <c r="G69" s="133"/>
      <c r="Q69" s="130">
        <v>20</v>
      </c>
    </row>
    <row customHeight="1" ht="21">
      <c r="D70" s="466"/>
      <c r="E70" s="447" t="s">
        <v>84</v>
      </c>
      <c r="F70" s="2840" t="s">
        <v>85</v>
      </c>
      <c r="G70" s="129"/>
      <c r="Q70" s="130">
        <v>20</v>
      </c>
    </row>
    <row customHeight="1" ht="21">
      <c r="A71" s="843"/>
      <c r="D71" s="129"/>
      <c r="F71" s="189"/>
      <c r="G71" s="133"/>
      <c r="Q71" s="130">
        <v>20</v>
      </c>
    </row>
    <row customHeight="1" ht="21">
      <c r="A72" s="843"/>
      <c r="B72" s="155"/>
      <c r="D72" s="138"/>
      <c r="E72" s="137"/>
      <c r="F72" s="1089" t="s">
        <v>13</v>
      </c>
      <c r="G72" s="133"/>
      <c r="Q72" s="130">
        <v>20</v>
      </c>
    </row>
    <row customHeight="1" ht="21">
      <c r="A73" s="843"/>
      <c r="B73" s="155"/>
      <c r="D73" s="138"/>
      <c r="E73" s="137"/>
      <c r="F73" s="190"/>
      <c r="G73" s="133"/>
      <c r="Q73" s="130">
        <v>20</v>
      </c>
    </row>
    <row customHeight="1" ht="21">
      <c r="A74" s="843"/>
      <c r="B74" s="155"/>
      <c r="D74" s="138"/>
      <c r="E74" s="142"/>
      <c r="F74" s="190"/>
      <c r="G74" s="133"/>
      <c r="Q74" s="130">
        <v>20</v>
      </c>
    </row>
    <row customHeight="1" ht="21">
      <c r="A75" s="843"/>
      <c r="B75" s="155"/>
      <c r="D75" s="138"/>
      <c r="E75" s="137"/>
      <c r="F75" s="190"/>
      <c r="G75" s="133"/>
      <c r="Q75" s="130">
        <v>20</v>
      </c>
    </row>
    <row customHeight="1" ht="11.549999999999999">
      <c r="Q76" s="130">
        <v>11</v>
      </c>
    </row>
    <row customHeight="1" ht="11.549999999999999">
      <c r="Q77" s="130">
        <v>11</v>
      </c>
    </row>
    <row customHeight="1" ht="11.549999999999999">
      <c r="E78" s="446"/>
      <c r="F78" s="446"/>
      <c r="G78" s="446"/>
      <c r="H78" s="446"/>
      <c r="I78" s="446"/>
      <c r="Q78" s="130">
        <v>11</v>
      </c>
    </row>
    <row customHeight="1" ht="11.25" hidden="1">
      <c r="A79" s="840" t="s">
        <v>86</v>
      </c>
      <c r="B79" s="154">
        <v>0</v>
      </c>
      <c r="C79" s="128">
        <v>3</v>
      </c>
      <c r="D79" s="130">
        <v>1</v>
      </c>
      <c r="E79" s="130">
        <v>55</v>
      </c>
      <c r="F79" s="130">
        <v>54</v>
      </c>
      <c r="G79" s="827">
        <v>1</v>
      </c>
      <c r="H79" s="465">
        <v>0</v>
      </c>
      <c r="I79" s="467">
        <v>59</v>
      </c>
      <c r="J79" s="932">
        <v>0</v>
      </c>
      <c r="K79" s="130">
        <v>8</v>
      </c>
      <c r="L79" s="130">
        <v>77</v>
      </c>
      <c r="M79" s="130">
        <v>8</v>
      </c>
      <c r="N79" s="130">
        <v>8</v>
      </c>
      <c r="O79" s="130">
        <v>8</v>
      </c>
      <c r="P79" s="130">
        <v>8</v>
      </c>
      <c r="Q79" s="130">
        <v>11</v>
      </c>
    </row>
  </sheetData>
  <sheetProtection formatColumns="0" formatRows="0" sort="0" autoFilter="0" insertRows="0" insertColumns="1" deleteRows="0" deleteColumns="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6BA54A61-1451-3E3D-C648-D532885066DB}"/>
    <hyperlink ref="H17" location="Титульный!H9" display="Как заполнить?" tooltip="Помощь по работе с полями отчётной формы" xr:uid="{89ED9127-8E3C-2127-4845-2CEB01BCA5CB}"/>
    <hyperlink ref="H39" location="Титульный!H9" display="Как заполнить?" tooltip="Помощь по работе с полями отчётной формы" xr:uid="{C0FCD371-3EBD-957B-AD3A-5F645331B7CD}"/>
    <hyperlink ref="H62" location="Титульный!H9" display="Как заполнить?" tooltip="Помощь по работе с полями отчётной формы" xr:uid="{E6CA5F33-66B8-D53D-30B5-C3D1229B2C9C}"/>
    <hyperlink ref="F70" r:id="rId4" xr:uid="{185FBBFE-3EEE-91D7-11C9-C0BD68DA5554}"/>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1AE8A1-F9DB-08E5-EA8F-736D4F71EC84}" mc:Ignorable="x14ac xr xr2 xr3">
  <sheetPr>
    <tabColor theme="6" tint="0.4"/>
  </sheetPr>
  <dimension ref="A1:BA70"/>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2792" width="3.00390625" customWidth="1"/>
    <col min="17" max="17" style="3602" width="3.00390625" customWidth="1"/>
    <col min="18" max="18" style="3677" width="3.00390625" customWidth="1"/>
    <col min="19" max="19" style="3681" width="12.00390625" customWidth="1"/>
    <col min="20" max="20" style="2774" width="31.00390625" customWidth="1"/>
    <col min="21" max="21" style="2774" width="0.140625" customWidth="1"/>
    <col min="22" max="23" style="2774" width="21.7109375" hidden="1" customWidth="1"/>
    <col min="24" max="24" style="2774" width="11.7109375" hidden="1" customWidth="1"/>
    <col min="25" max="25" style="2774" width="3.7109375" hidden="1" customWidth="1"/>
    <col min="26" max="26" style="2774" width="11.7109375" hidden="1" customWidth="1"/>
    <col min="27" max="27" style="2774" width="8.57421875" hidden="1" customWidth="1"/>
    <col min="28" max="28" style="2774" width="5.421875" customWidth="1"/>
    <col min="29" max="30" style="2774" width="3.00390625" customWidth="1"/>
    <col min="31" max="31" style="2774" width="24.00390625" customWidth="1"/>
    <col min="32" max="32" style="2774" width="3.7109375" customWidth="1"/>
    <col min="33" max="34" style="2774" width="3.00390625" customWidth="1"/>
    <col min="35" max="35" style="2774" width="24.00390625" customWidth="1"/>
    <col min="36" max="36" style="2774" width="3.7109375" customWidth="1"/>
    <col min="37" max="38" style="2774" width="3.00390625" customWidth="1"/>
    <col min="39" max="39" style="2774" width="18.00390625" customWidth="1"/>
    <col min="40" max="41" style="2774" width="21.00390625" customWidth="1"/>
    <col min="42" max="42" style="2774" width="11.00390625" customWidth="1"/>
    <col min="43" max="43" style="2774" width="3.7109375" customWidth="1"/>
    <col min="44" max="44" style="2774" width="11.00390625" customWidth="1"/>
    <col min="45" max="45" style="2774" width="8.57421875" hidden="1" customWidth="1"/>
    <col min="46" max="46" style="2774" width="4.00390625" customWidth="1"/>
    <col min="47" max="47" style="2774" width="115.00390625" customWidth="1"/>
    <col min="48" max="52" style="2851" width="10.00390625" customWidth="1"/>
    <col min="53" max="53" style="2774" width="10.57421875" hidden="1"/>
  </cols>
  <sheetData>
    <row customHeight="1" ht="22.5" hidden="1">
      <c r="W1" s="383"/>
      <c r="X1" s="383"/>
      <c r="AO1" s="383"/>
      <c r="AP1" s="383"/>
      <c r="BA1" s="1211" t="s">
        <v>14</v>
      </c>
    </row>
    <row customHeight="1" ht="21" hidden="1">
      <c r="A2" s="1419"/>
      <c r="B2" s="1419"/>
      <c r="C2" s="1419"/>
      <c r="D2" s="1419"/>
      <c r="E2" s="2314">
        <v>1</v>
      </c>
      <c r="F2" s="1419"/>
      <c r="G2" s="1419"/>
      <c r="H2" s="1419"/>
      <c r="I2" s="1419"/>
      <c r="J2" s="1419"/>
      <c r="K2" s="1419"/>
      <c r="L2" s="1420"/>
      <c r="M2" s="1421"/>
      <c r="N2" s="1421"/>
      <c r="O2" s="1421"/>
      <c r="P2" s="1465"/>
      <c r="Q2" s="929"/>
      <c r="R2" s="411"/>
      <c r="S2" s="1392">
        <f>INDEX(PT_DIFFERENTIATION_NUM_NTAR,MATCH(A2,PT_DIFFERENTIATION_NTAR_ID,0))</f>
      </c>
      <c r="T2" s="354" t="s">
        <v>202</v>
      </c>
      <c r="U2" s="356"/>
      <c r="V2" s="2299"/>
      <c r="W2" s="2299"/>
      <c r="X2" s="2299"/>
      <c r="Y2" s="2299"/>
      <c r="Z2" s="2299"/>
      <c r="AA2" s="2300"/>
      <c r="AB2" s="2298">
        <f>INDEX(PT_DIFFERENTIATION_NTAR,MATCH(A2,PT_DIFFERENTIATION_NTAR_ID,0))</f>
      </c>
      <c r="AC2" s="2299"/>
      <c r="AD2" s="2299"/>
      <c r="AE2" s="2299"/>
      <c r="AF2" s="2299"/>
      <c r="AG2" s="2299"/>
      <c r="AH2" s="2299"/>
      <c r="AI2" s="2299"/>
      <c r="AJ2" s="2299"/>
      <c r="AK2" s="2299"/>
      <c r="AL2" s="2299"/>
      <c r="AM2" s="2299"/>
      <c r="AN2" s="2299"/>
      <c r="AO2" s="2299"/>
      <c r="AP2" s="2299"/>
      <c r="AQ2" s="2299"/>
      <c r="AR2" s="2299"/>
      <c r="AS2" s="2299"/>
      <c r="AT2" s="2300"/>
      <c r="AU2" s="1314" t="s">
        <v>528</v>
      </c>
      <c r="AW2" s="556"/>
      <c r="AX2" s="556" t="str">
        <f>IF(T2="","",T2)</f>
        <v>Наименование тарифа</v>
      </c>
      <c r="AY2" s="556"/>
      <c r="AZ2" s="556"/>
      <c r="BA2" s="1211">
        <v>0</v>
      </c>
    </row>
    <row customHeight="1" ht="21" hidden="1">
      <c r="A3" s="1419"/>
      <c r="B3" s="1419"/>
      <c r="C3" s="1419"/>
      <c r="D3" s="1419"/>
      <c r="E3" s="2315"/>
      <c r="F3" s="2314">
        <v>1</v>
      </c>
      <c r="G3" s="1419"/>
      <c r="H3" s="1419"/>
      <c r="I3" s="1419"/>
      <c r="J3" s="1419"/>
      <c r="K3" s="1419"/>
      <c r="L3" s="1420"/>
      <c r="M3" s="1421"/>
      <c r="N3" s="1421"/>
      <c r="O3" s="1421"/>
      <c r="P3" s="1466"/>
      <c r="Q3" s="1467"/>
      <c r="R3" s="409"/>
      <c r="S3" s="1392">
        <f>INDEX(PT_DIFFERENTIATION_NUM_TER,MATCH(B3,PT_DIFFERENTIATION_TER_ID,0))</f>
      </c>
      <c r="T3" s="364" t="s">
        <v>529</v>
      </c>
      <c r="U3" s="356"/>
      <c r="V3" s="2299"/>
      <c r="W3" s="2299"/>
      <c r="X3" s="2299"/>
      <c r="Y3" s="2299"/>
      <c r="Z3" s="2299"/>
      <c r="AA3" s="2300"/>
      <c r="AB3" s="2298">
        <f>INDEX(PT_DIFFERENTIATION_TER,MATCH(B3,PT_DIFFERENTIATION_TER_ID,0))</f>
      </c>
      <c r="AC3" s="2299"/>
      <c r="AD3" s="2299"/>
      <c r="AE3" s="2299"/>
      <c r="AF3" s="2299"/>
      <c r="AG3" s="2299"/>
      <c r="AH3" s="2299"/>
      <c r="AI3" s="2299"/>
      <c r="AJ3" s="2299"/>
      <c r="AK3" s="2299"/>
      <c r="AL3" s="2299"/>
      <c r="AM3" s="2299"/>
      <c r="AN3" s="2299"/>
      <c r="AO3" s="2299"/>
      <c r="AP3" s="2299"/>
      <c r="AQ3" s="2299"/>
      <c r="AR3" s="2299"/>
      <c r="AS3" s="2299"/>
      <c r="AT3" s="2300"/>
      <c r="AU3" s="1314" t="s">
        <v>530</v>
      </c>
      <c r="AW3" s="556"/>
      <c r="AX3" s="556" t="str">
        <f>IF(T3="","",T3)</f>
        <v>Территория действия тарифа</v>
      </c>
      <c r="AY3" s="556"/>
      <c r="AZ3" s="556"/>
      <c r="BA3" s="1211">
        <v>0</v>
      </c>
    </row>
    <row customHeight="1" ht="22.5" hidden="1">
      <c r="A4" s="1419"/>
      <c r="B4" s="1419"/>
      <c r="C4" s="1419"/>
      <c r="D4" s="1419"/>
      <c r="E4" s="2315"/>
      <c r="F4" s="2315"/>
      <c r="G4" s="2314">
        <v>1</v>
      </c>
      <c r="H4" s="1419"/>
      <c r="I4" s="1419"/>
      <c r="J4" s="1419"/>
      <c r="K4" s="1419"/>
      <c r="L4" s="1420"/>
      <c r="M4" s="1421"/>
      <c r="N4" s="1421"/>
      <c r="O4" s="1421"/>
      <c r="P4" s="1468"/>
      <c r="Q4" s="1467"/>
      <c r="R4" s="409"/>
      <c r="S4" s="1392">
        <f>INDEX(PT_DIFFERENTIATION_NUM_CS,MATCH(C4,PT_DIFFERENTIATION_CS_ID,0))</f>
      </c>
      <c r="T4" s="365" t="s">
        <v>531</v>
      </c>
      <c r="U4" s="356"/>
      <c r="V4" s="2299"/>
      <c r="W4" s="2299"/>
      <c r="X4" s="2299"/>
      <c r="Y4" s="2299"/>
      <c r="Z4" s="2299"/>
      <c r="AA4" s="2300"/>
      <c r="AB4" s="2298">
        <f>INDEX(PT_DIFFERENTIATION_CS,MATCH(C4,PT_DIFFERENTIATION_CS_ID,0))</f>
      </c>
      <c r="AC4" s="2299"/>
      <c r="AD4" s="2299"/>
      <c r="AE4" s="2299"/>
      <c r="AF4" s="2299"/>
      <c r="AG4" s="2299"/>
      <c r="AH4" s="2299"/>
      <c r="AI4" s="2299"/>
      <c r="AJ4" s="2299"/>
      <c r="AK4" s="2299"/>
      <c r="AL4" s="2299"/>
      <c r="AM4" s="2299"/>
      <c r="AN4" s="2299"/>
      <c r="AO4" s="2299"/>
      <c r="AP4" s="2299"/>
      <c r="AQ4" s="2299"/>
      <c r="AR4" s="2299"/>
      <c r="AS4" s="2299"/>
      <c r="AT4" s="2300"/>
      <c r="AU4" s="1314" t="s">
        <v>532</v>
      </c>
      <c r="AW4" s="556"/>
      <c r="AX4" s="556" t="str">
        <f>IF(T4="","",T4)</f>
        <v>Наименование системы теплоснабжения </v>
      </c>
      <c r="AY4" s="556"/>
      <c r="AZ4" s="556"/>
      <c r="BA4" s="1211">
        <v>0</v>
      </c>
    </row>
    <row customHeight="1" ht="21" hidden="1">
      <c r="A5" s="1419"/>
      <c r="B5" s="1419"/>
      <c r="C5" s="1419"/>
      <c r="D5" s="1419"/>
      <c r="E5" s="2315"/>
      <c r="F5" s="2315"/>
      <c r="G5" s="2315"/>
      <c r="H5" s="2314">
        <v>1</v>
      </c>
      <c r="I5" s="1419"/>
      <c r="J5" s="1419"/>
      <c r="K5" s="1419"/>
      <c r="L5" s="1420"/>
      <c r="M5" s="1421"/>
      <c r="N5" s="1421"/>
      <c r="O5" s="1421"/>
      <c r="P5" s="1468"/>
      <c r="Q5" s="1467"/>
      <c r="R5" s="409"/>
      <c r="S5" s="1392">
        <f>INDEX(PT_DIFFERENTIATION_NUM_IST_TE,MATCH(D5,PT_DIFFERENTIATION_IST_TE_ID,0))</f>
      </c>
      <c r="T5" s="366" t="s">
        <v>533</v>
      </c>
      <c r="U5" s="356"/>
      <c r="V5" s="2299"/>
      <c r="W5" s="2299"/>
      <c r="X5" s="2299"/>
      <c r="Y5" s="2299"/>
      <c r="Z5" s="2299"/>
      <c r="AA5" s="2300"/>
      <c r="AB5" s="2298">
        <f>INDEX(PT_DIFFERENTIATION_IST_TE,MATCH(D5,PT_DIFFERENTIATION_IST_TE_ID,0))</f>
      </c>
      <c r="AC5" s="2299"/>
      <c r="AD5" s="2299"/>
      <c r="AE5" s="2299"/>
      <c r="AF5" s="2299"/>
      <c r="AG5" s="2299"/>
      <c r="AH5" s="2299"/>
      <c r="AI5" s="2299"/>
      <c r="AJ5" s="2299"/>
      <c r="AK5" s="2299"/>
      <c r="AL5" s="2299"/>
      <c r="AM5" s="2299"/>
      <c r="AN5" s="2299"/>
      <c r="AO5" s="2299"/>
      <c r="AP5" s="2299"/>
      <c r="AQ5" s="2299"/>
      <c r="AR5" s="2299"/>
      <c r="AS5" s="2299"/>
      <c r="AT5" s="2300"/>
      <c r="AU5" s="1314" t="s">
        <v>534</v>
      </c>
      <c r="AW5" s="556"/>
      <c r="AX5" s="556" t="str">
        <f>IF(T5="","",T5)</f>
        <v>Источник тепловой энергии  </v>
      </c>
      <c r="AY5" s="556"/>
      <c r="AZ5" s="556"/>
      <c r="BA5" s="1211">
        <v>0</v>
      </c>
    </row>
    <row s="2851" customFormat="1" customHeight="1" ht="0.75" hidden="1">
      <c r="A6" s="1399"/>
      <c r="B6" s="1399"/>
      <c r="C6" s="1399"/>
      <c r="D6" s="1399"/>
      <c r="E6" s="2315"/>
      <c r="F6" s="2315"/>
      <c r="G6" s="2315"/>
      <c r="H6" s="2315"/>
      <c r="I6" s="2312">
        <f>S5&amp;".1"</f>
      </c>
      <c r="J6" s="1399"/>
      <c r="K6" s="1399"/>
      <c r="L6" s="1402" t="s">
        <v>535</v>
      </c>
      <c r="M6" s="566"/>
      <c r="N6" s="566"/>
      <c r="O6" s="566"/>
      <c r="P6" s="2313">
        <v>1</v>
      </c>
      <c r="Q6" s="1387"/>
      <c r="R6" s="412"/>
      <c r="S6" s="1098"/>
      <c r="T6" s="1439"/>
      <c r="U6" s="1440"/>
      <c r="V6" s="2353"/>
      <c r="W6" s="2353"/>
      <c r="X6" s="2353"/>
      <c r="Y6" s="2353"/>
      <c r="Z6" s="2353"/>
      <c r="AA6" s="2354"/>
      <c r="AB6" s="2352"/>
      <c r="AC6" s="2353"/>
      <c r="AD6" s="2353"/>
      <c r="AE6" s="2353"/>
      <c r="AF6" s="2353"/>
      <c r="AG6" s="2353"/>
      <c r="AH6" s="2353"/>
      <c r="AI6" s="2353"/>
      <c r="AJ6" s="2353"/>
      <c r="AK6" s="2353"/>
      <c r="AL6" s="2353"/>
      <c r="AM6" s="2353"/>
      <c r="AN6" s="2353"/>
      <c r="AO6" s="2353"/>
      <c r="AP6" s="2353"/>
      <c r="AQ6" s="2353"/>
      <c r="AR6" s="2353"/>
      <c r="AS6" s="2353"/>
      <c r="AT6" s="2354"/>
      <c r="AU6" s="1441"/>
      <c r="AW6" s="556"/>
      <c r="AX6" s="556" t="str">
        <f>IF(T6="","",T6)</f>
        <v/>
      </c>
      <c r="AY6" s="556"/>
      <c r="AZ6" s="556"/>
      <c r="BA6" s="567">
        <v>0</v>
      </c>
    </row>
    <row s="2851" customFormat="1" customHeight="1" ht="0.75" hidden="1">
      <c r="A7" s="1399"/>
      <c r="B7" s="1399"/>
      <c r="C7" s="1399"/>
      <c r="D7" s="1399"/>
      <c r="E7" s="2315"/>
      <c r="F7" s="2315"/>
      <c r="G7" s="2315"/>
      <c r="H7" s="2315"/>
      <c r="I7" s="2342"/>
      <c r="J7" s="2312">
        <f>S5&amp;".1"</f>
      </c>
      <c r="K7" s="1399"/>
      <c r="L7" s="1402"/>
      <c r="M7" s="566"/>
      <c r="N7" s="566"/>
      <c r="O7" s="566"/>
      <c r="P7" s="2313"/>
      <c r="Q7" s="2313">
        <v>1</v>
      </c>
      <c r="R7" s="413"/>
      <c r="S7" s="1098"/>
      <c r="T7" s="1455"/>
      <c r="U7" s="1440"/>
      <c r="V7" s="2353"/>
      <c r="W7" s="2353"/>
      <c r="X7" s="2353"/>
      <c r="Y7" s="2353"/>
      <c r="Z7" s="2353"/>
      <c r="AA7" s="2354"/>
      <c r="AB7" s="2352"/>
      <c r="AC7" s="2353"/>
      <c r="AD7" s="2353"/>
      <c r="AE7" s="2353"/>
      <c r="AF7" s="2353"/>
      <c r="AG7" s="2353"/>
      <c r="AH7" s="2353"/>
      <c r="AI7" s="2353"/>
      <c r="AJ7" s="2353"/>
      <c r="AK7" s="2353"/>
      <c r="AL7" s="2353"/>
      <c r="AM7" s="2353"/>
      <c r="AN7" s="2353"/>
      <c r="AO7" s="2353"/>
      <c r="AP7" s="2353"/>
      <c r="AQ7" s="2353"/>
      <c r="AR7" s="2353"/>
      <c r="AS7" s="2353"/>
      <c r="AT7" s="2354"/>
      <c r="AU7" s="1441"/>
      <c r="AW7" s="556"/>
      <c r="AX7" s="556" t="str">
        <f>IF(T7="","",T7)</f>
        <v/>
      </c>
      <c r="AY7" s="556"/>
      <c r="AZ7" s="556"/>
      <c r="BA7" s="567">
        <v>0</v>
      </c>
    </row>
    <row customHeight="1" ht="21" hidden="1">
      <c r="A8" s="1419"/>
      <c r="B8" s="1419"/>
      <c r="C8" s="1419"/>
      <c r="D8" s="1419"/>
      <c r="E8" s="2315"/>
      <c r="F8" s="2315"/>
      <c r="G8" s="2315"/>
      <c r="H8" s="2315"/>
      <c r="I8" s="2342"/>
      <c r="J8" s="2342"/>
      <c r="K8" s="2312">
        <f>S5&amp;".1"</f>
      </c>
      <c r="L8" s="1420"/>
      <c r="P8" s="2313"/>
      <c r="Q8" s="2313"/>
      <c r="R8" s="2403">
        <v>1</v>
      </c>
      <c r="S8" s="2397">
        <f>$K8</f>
      </c>
      <c r="T8" s="2400"/>
      <c r="U8" s="356"/>
      <c r="V8" s="807"/>
      <c r="W8" s="1313"/>
      <c r="X8" s="2321"/>
      <c r="Y8" s="2163" t="s">
        <v>65</v>
      </c>
      <c r="Z8" s="2321"/>
      <c r="AA8" s="2163" t="s">
        <v>65</v>
      </c>
      <c r="AB8" s="2163" t="s">
        <v>19</v>
      </c>
      <c r="AC8" s="2382"/>
      <c r="AD8" s="2261">
        <v>1</v>
      </c>
      <c r="AE8" s="2383"/>
      <c r="AF8" s="2163" t="s">
        <v>19</v>
      </c>
      <c r="AG8" s="2382"/>
      <c r="AH8" s="2261">
        <v>1</v>
      </c>
      <c r="AI8" s="2383"/>
      <c r="AJ8" s="2163" t="s">
        <v>19</v>
      </c>
      <c r="AK8" s="367"/>
      <c r="AL8" s="1393">
        <v>1</v>
      </c>
      <c r="AM8" s="1454"/>
      <c r="AN8" s="807"/>
      <c r="AO8" s="1313"/>
      <c r="AP8" s="1790"/>
      <c r="AQ8" s="1515" t="s">
        <v>65</v>
      </c>
      <c r="AR8" s="1790"/>
      <c r="AS8" s="1515" t="s">
        <v>65</v>
      </c>
      <c r="AT8" s="1404"/>
      <c r="AU8" s="2309" t="s">
        <v>593</v>
      </c>
      <c r="AV8" s="567">
        <f>STRCHECKDATE(V11:AT11)</f>
      </c>
      <c r="AW8" s="556"/>
      <c r="AX8" s="556" t="str">
        <f>IF(T8="","",T8)</f>
        <v/>
      </c>
      <c r="AY8" s="556"/>
      <c r="AZ8" s="556"/>
      <c r="BA8" s="1211">
        <v>0</v>
      </c>
    </row>
    <row customHeight="1" ht="11.25" hidden="1">
      <c r="A9" s="1419"/>
      <c r="B9" s="1419"/>
      <c r="C9" s="1419"/>
      <c r="D9" s="1419"/>
      <c r="E9" s="2315"/>
      <c r="F9" s="2315"/>
      <c r="G9" s="2315"/>
      <c r="H9" s="2315"/>
      <c r="I9" s="2342"/>
      <c r="J9" s="2342"/>
      <c r="K9" s="2312"/>
      <c r="L9" s="1420"/>
      <c r="P9" s="2313"/>
      <c r="Q9" s="2313"/>
      <c r="R9" s="2403"/>
      <c r="S9" s="2398"/>
      <c r="T9" s="2401"/>
      <c r="U9" s="356"/>
      <c r="V9" s="1449"/>
      <c r="W9" s="1453"/>
      <c r="X9" s="2321"/>
      <c r="Y9" s="2163"/>
      <c r="Z9" s="2321"/>
      <c r="AA9" s="2163"/>
      <c r="AB9" s="2163"/>
      <c r="AC9" s="2382"/>
      <c r="AD9" s="2261"/>
      <c r="AE9" s="2383"/>
      <c r="AF9" s="2163"/>
      <c r="AG9" s="2382"/>
      <c r="AH9" s="2261"/>
      <c r="AI9" s="2383"/>
      <c r="AJ9" s="2163"/>
      <c r="AK9" s="372"/>
      <c r="AL9" s="472"/>
      <c r="AM9" s="471" t="s">
        <v>594</v>
      </c>
      <c r="AN9" s="1449"/>
      <c r="AO9" s="1552"/>
      <c r="AP9" s="1449"/>
      <c r="AQ9" s="1449"/>
      <c r="AR9" s="1449"/>
      <c r="AS9" s="1449"/>
      <c r="AT9" s="1446"/>
      <c r="AU9" s="2310"/>
      <c r="AW9" s="556"/>
      <c r="AX9" s="556"/>
      <c r="AY9" s="556"/>
      <c r="AZ9" s="556"/>
      <c r="BA9" s="1211">
        <v>0</v>
      </c>
    </row>
    <row customHeight="1" ht="11.25" hidden="1">
      <c r="A10" s="1419"/>
      <c r="B10" s="1419"/>
      <c r="C10" s="1419"/>
      <c r="D10" s="1419"/>
      <c r="E10" s="2315"/>
      <c r="F10" s="2315"/>
      <c r="G10" s="2315"/>
      <c r="H10" s="2315"/>
      <c r="I10" s="2342"/>
      <c r="J10" s="2342"/>
      <c r="K10" s="2312"/>
      <c r="L10" s="1420"/>
      <c r="P10" s="2313"/>
      <c r="Q10" s="2313"/>
      <c r="R10" s="2403"/>
      <c r="S10" s="2398"/>
      <c r="T10" s="2401"/>
      <c r="U10" s="356"/>
      <c r="V10" s="1449"/>
      <c r="W10" s="1453"/>
      <c r="X10" s="2321"/>
      <c r="Y10" s="2163"/>
      <c r="Z10" s="2321"/>
      <c r="AA10" s="2163"/>
      <c r="AB10" s="2163"/>
      <c r="AC10" s="2382"/>
      <c r="AD10" s="2261"/>
      <c r="AE10" s="2383"/>
      <c r="AF10" s="2163"/>
      <c r="AG10" s="350"/>
      <c r="AH10" s="471"/>
      <c r="AI10" s="471" t="s">
        <v>595</v>
      </c>
      <c r="AJ10" s="1449"/>
      <c r="AK10" s="1449"/>
      <c r="AL10" s="1449"/>
      <c r="AM10" s="1449"/>
      <c r="AN10" s="1449"/>
      <c r="AO10" s="1552"/>
      <c r="AP10" s="1449"/>
      <c r="AQ10" s="1449"/>
      <c r="AR10" s="1449"/>
      <c r="AS10" s="1449"/>
      <c r="AT10" s="1446"/>
      <c r="AU10" s="2310"/>
      <c r="AW10" s="556"/>
      <c r="AX10" s="556"/>
      <c r="AY10" s="556"/>
      <c r="AZ10" s="556"/>
      <c r="BA10" s="1211">
        <v>0</v>
      </c>
    </row>
    <row customHeight="1" ht="11.25" hidden="1">
      <c r="A11" s="1419"/>
      <c r="B11" s="1419"/>
      <c r="C11" s="1419"/>
      <c r="D11" s="1419"/>
      <c r="E11" s="2315"/>
      <c r="F11" s="2315"/>
      <c r="G11" s="2315"/>
      <c r="H11" s="2315"/>
      <c r="I11" s="2342"/>
      <c r="J11" s="2342"/>
      <c r="K11" s="2312"/>
      <c r="L11" s="1420"/>
      <c r="P11" s="2313"/>
      <c r="Q11" s="2313"/>
      <c r="R11" s="2403"/>
      <c r="S11" s="2399"/>
      <c r="T11" s="2402"/>
      <c r="U11" s="356"/>
      <c r="V11" s="1449"/>
      <c r="W11" s="1452" t="str">
        <f>X8&amp;"-"&amp;Z8</f>
        <v>-</v>
      </c>
      <c r="X11" s="2322"/>
      <c r="Y11" s="2163"/>
      <c r="Z11" s="2322"/>
      <c r="AA11" s="2163"/>
      <c r="AB11" s="2163"/>
      <c r="AC11" s="368"/>
      <c r="AD11" s="370"/>
      <c r="AE11" s="471" t="s">
        <v>596</v>
      </c>
      <c r="AF11" s="1449"/>
      <c r="AG11" s="1449"/>
      <c r="AH11" s="1449"/>
      <c r="AI11" s="1449"/>
      <c r="AJ11" s="1449"/>
      <c r="AK11" s="1449"/>
      <c r="AL11" s="1449"/>
      <c r="AM11" s="1449"/>
      <c r="AN11" s="1449"/>
      <c r="AO11" s="1450" t="str">
        <f>AP8&amp;"-"&amp;AR8</f>
        <v>-</v>
      </c>
      <c r="AP11" s="1449"/>
      <c r="AQ11" s="1449"/>
      <c r="AR11" s="1449"/>
      <c r="AS11" s="1449"/>
      <c r="AT11" s="1405"/>
      <c r="AU11" s="2310"/>
      <c r="AW11" s="556"/>
      <c r="AX11" s="556" t="str">
        <f>IF(T11="","",T11)</f>
        <v/>
      </c>
      <c r="AY11" s="556"/>
      <c r="AZ11" s="556"/>
      <c r="BA11" s="1211">
        <v>0</v>
      </c>
    </row>
    <row customHeight="1" ht="11.25" hidden="1">
      <c r="A12" s="1419"/>
      <c r="B12" s="1419"/>
      <c r="C12" s="1419"/>
      <c r="D12" s="1419"/>
      <c r="E12" s="2315"/>
      <c r="F12" s="2315"/>
      <c r="G12" s="2315"/>
      <c r="H12" s="2315"/>
      <c r="I12" s="2342"/>
      <c r="J12" s="2312"/>
      <c r="K12" s="1419"/>
      <c r="L12" s="1420"/>
      <c r="P12" s="2313"/>
      <c r="Q12" s="2313"/>
      <c r="R12" s="412"/>
      <c r="S12" s="1334"/>
      <c r="T12" s="343" t="s">
        <v>597</v>
      </c>
      <c r="U12" s="423"/>
      <c r="V12" s="423"/>
      <c r="W12" s="423"/>
      <c r="X12" s="423"/>
      <c r="Y12" s="423"/>
      <c r="Z12" s="423"/>
      <c r="AA12" s="423"/>
      <c r="AB12" s="423"/>
      <c r="AC12" s="423"/>
      <c r="AD12" s="423"/>
      <c r="AE12" s="423"/>
      <c r="AF12" s="423"/>
      <c r="AG12" s="423"/>
      <c r="AH12" s="423"/>
      <c r="AI12" s="423"/>
      <c r="AJ12" s="423"/>
      <c r="AK12" s="423"/>
      <c r="AL12" s="423"/>
      <c r="AM12" s="423"/>
      <c r="AN12" s="423"/>
      <c r="AO12" s="423"/>
      <c r="AP12" s="423"/>
      <c r="AQ12" s="423"/>
      <c r="AR12" s="423"/>
      <c r="AS12" s="423"/>
      <c r="AT12" s="380"/>
      <c r="AU12" s="2311"/>
      <c r="AW12" s="556"/>
      <c r="AX12" s="556" t="str">
        <f>IF(T12="","",T12)</f>
        <v>Добавить строку</v>
      </c>
      <c r="AY12" s="556"/>
      <c r="AZ12" s="556"/>
      <c r="BA12" s="1211">
        <v>0</v>
      </c>
    </row>
    <row s="2851" customFormat="1" customHeight="1" ht="0.75" hidden="1">
      <c r="A13" s="1399"/>
      <c r="B13" s="1399"/>
      <c r="C13" s="1399"/>
      <c r="D13" s="1399"/>
      <c r="E13" s="2315"/>
      <c r="F13" s="2315"/>
      <c r="G13" s="2315"/>
      <c r="H13" s="2315"/>
      <c r="I13" s="2312"/>
      <c r="J13" s="1399"/>
      <c r="K13" s="1399"/>
      <c r="L13" s="1402"/>
      <c r="M13" s="566"/>
      <c r="N13" s="566"/>
      <c r="O13" s="566"/>
      <c r="P13" s="2313"/>
      <c r="Q13" s="1387"/>
      <c r="R13" s="412"/>
      <c r="S13" s="1442"/>
      <c r="T13" s="1443"/>
      <c r="U13" s="1444"/>
      <c r="V13" s="1444"/>
      <c r="W13" s="1444"/>
      <c r="X13" s="1444"/>
      <c r="Y13" s="1444"/>
      <c r="Z13" s="1444"/>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5"/>
      <c r="AW13" s="556"/>
      <c r="AX13" s="556" t="str">
        <f>IF(T13="","",T13)</f>
        <v/>
      </c>
      <c r="AY13" s="556"/>
      <c r="AZ13" s="556"/>
      <c r="BA13" s="567">
        <v>0</v>
      </c>
    </row>
    <row s="2851" customFormat="1" customHeight="1" ht="0.75" hidden="1">
      <c r="A14" s="1399"/>
      <c r="B14" s="1399"/>
      <c r="C14" s="1399"/>
      <c r="D14" s="1399"/>
      <c r="E14" s="2315"/>
      <c r="F14" s="2315"/>
      <c r="G14" s="2315"/>
      <c r="H14" s="2314"/>
      <c r="I14" s="1399"/>
      <c r="J14" s="1399"/>
      <c r="K14" s="1399"/>
      <c r="L14" s="1402"/>
      <c r="M14" s="1371"/>
      <c r="N14" s="1371"/>
      <c r="O14" s="574"/>
      <c r="P14" s="436"/>
      <c r="Q14" s="1400"/>
      <c r="R14" s="1457"/>
      <c r="S14" s="1442"/>
      <c r="T14" s="1443"/>
      <c r="U14" s="1444"/>
      <c r="V14" s="1444"/>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4"/>
      <c r="AR14" s="1444"/>
      <c r="AS14" s="1444"/>
      <c r="AT14" s="1444"/>
      <c r="AU14" s="1445"/>
      <c r="AW14" s="556"/>
      <c r="AX14" s="556" t="str">
        <f>IF(T14="","",T14)</f>
        <v/>
      </c>
      <c r="AY14" s="556"/>
      <c r="AZ14" s="556"/>
      <c r="BA14" s="567">
        <v>0</v>
      </c>
    </row>
    <row s="2851" customFormat="1" customHeight="1" ht="0.75" hidden="1">
      <c r="A15" s="1399"/>
      <c r="B15" s="1399"/>
      <c r="C15" s="1399"/>
      <c r="D15" s="1370"/>
      <c r="E15" s="2315"/>
      <c r="F15" s="2315"/>
      <c r="G15" s="2314"/>
      <c r="H15" s="1370"/>
      <c r="I15" s="1370"/>
      <c r="J15" s="1370"/>
      <c r="K15" s="1370"/>
      <c r="L15" s="1395"/>
      <c r="M15" s="1371"/>
      <c r="N15" s="1371"/>
      <c r="P15" s="1372"/>
      <c r="Q15" s="1373"/>
      <c r="R15" s="1372"/>
      <c r="S15" s="1378"/>
      <c r="T15" s="1381" t="s">
        <v>546</v>
      </c>
      <c r="U15" s="1380"/>
      <c r="V15" s="1380"/>
      <c r="W15" s="1380"/>
      <c r="X15" s="1380"/>
      <c r="Y15" s="1380"/>
      <c r="Z15" s="1380"/>
      <c r="AA15" s="1380"/>
      <c r="AB15" s="1380"/>
      <c r="AC15" s="1380"/>
      <c r="AD15" s="1380"/>
      <c r="AE15" s="1380"/>
      <c r="AF15" s="1380"/>
      <c r="AG15" s="1380"/>
      <c r="AH15" s="1380"/>
      <c r="AI15" s="1380"/>
      <c r="AJ15" s="1380"/>
      <c r="AK15" s="1380"/>
      <c r="AL15" s="1380"/>
      <c r="AM15" s="1380"/>
      <c r="AN15" s="1380"/>
      <c r="AO15" s="1380"/>
      <c r="AP15" s="1380"/>
      <c r="AQ15" s="1380"/>
      <c r="AR15" s="1380"/>
      <c r="AS15" s="1380"/>
      <c r="AT15" s="1380"/>
      <c r="AU15" s="1380"/>
      <c r="AW15" s="845"/>
      <c r="AX15" s="845" t="str">
        <f>IF(T15="","",T15)</f>
        <v>Добавить источник для дифференциации</v>
      </c>
      <c r="AY15" s="845"/>
      <c r="AZ15" s="845"/>
      <c r="BA15" s="574">
        <v>0</v>
      </c>
    </row>
    <row s="2851" customFormat="1" customHeight="1" ht="0.75" hidden="1">
      <c r="A16" s="1399"/>
      <c r="B16" s="1399"/>
      <c r="C16" s="1370"/>
      <c r="D16" s="1370"/>
      <c r="E16" s="2315"/>
      <c r="F16" s="2314"/>
      <c r="G16" s="1370"/>
      <c r="H16" s="1370"/>
      <c r="I16" s="1370"/>
      <c r="J16" s="1370"/>
      <c r="K16" s="1370"/>
      <c r="L16" s="1395"/>
      <c r="M16" s="1377"/>
      <c r="N16" s="1377"/>
      <c r="P16" s="1372"/>
      <c r="Q16" s="1373"/>
      <c r="R16" s="1372"/>
      <c r="S16" s="1378"/>
      <c r="T16" s="1381" t="s">
        <v>302</v>
      </c>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W16" s="845"/>
      <c r="AX16" s="845" t="str">
        <f>IF(T16="","",T16)</f>
        <v>Добавить централизованную систему для дифференциации</v>
      </c>
      <c r="AY16" s="845"/>
      <c r="AZ16" s="845"/>
      <c r="BA16" s="574">
        <v>0</v>
      </c>
    </row>
    <row s="2851" customFormat="1" customHeight="1" ht="0.75" hidden="1">
      <c r="A17" s="1399"/>
      <c r="B17" s="1399"/>
      <c r="C17" s="1399"/>
      <c r="D17" s="1399"/>
      <c r="E17" s="2314"/>
      <c r="F17" s="1399"/>
      <c r="G17" s="1399"/>
      <c r="H17" s="1399"/>
      <c r="I17" s="1399"/>
      <c r="J17" s="1399"/>
      <c r="K17" s="1399"/>
      <c r="L17" s="1402"/>
      <c r="M17" s="1377"/>
      <c r="N17" s="1377"/>
      <c r="O17" s="574"/>
      <c r="P17" s="436"/>
      <c r="Q17" s="1400"/>
      <c r="R17" s="436"/>
      <c r="S17" s="1378"/>
      <c r="T17" s="1381" t="s">
        <v>359</v>
      </c>
      <c r="U17" s="1380"/>
      <c r="V17" s="1380"/>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W17" s="556"/>
      <c r="AX17" s="556" t="str">
        <f>IF(T17="","",T17)</f>
        <v>Добавить территорию для дифференциации</v>
      </c>
      <c r="AY17" s="556"/>
      <c r="AZ17" s="556"/>
      <c r="BA17" s="567">
        <v>0</v>
      </c>
    </row>
    <row customHeight="1" ht="14.25" hidden="1">
      <c r="AA18" s="383"/>
      <c r="AS18" s="383"/>
      <c r="BA18" s="1211">
        <v>0</v>
      </c>
    </row>
    <row customHeight="1" ht="14.25" hidden="1">
      <c r="AB19" s="1380" t="s">
        <v>19</v>
      </c>
      <c r="AC19" s="1557"/>
      <c r="AD19" s="604">
        <v>1</v>
      </c>
      <c r="AE19" s="1558"/>
      <c r="AF19" s="1380" t="s">
        <v>19</v>
      </c>
      <c r="AG19" s="1557"/>
      <c r="AH19" s="604">
        <v>1</v>
      </c>
      <c r="AI19" s="1558"/>
      <c r="AJ19" s="1380" t="s">
        <v>19</v>
      </c>
      <c r="AK19" s="1559"/>
      <c r="AL19" s="604">
        <v>1</v>
      </c>
      <c r="AM19" s="1562"/>
      <c r="AN19" s="1459"/>
      <c r="AO19" s="1460"/>
      <c r="AP19" s="1792"/>
      <c r="AQ19" s="1516" t="s">
        <v>65</v>
      </c>
      <c r="AR19" s="1792"/>
      <c r="AS19" s="1516" t="s">
        <v>65</v>
      </c>
      <c r="BA19" s="1211">
        <v>0</v>
      </c>
    </row>
    <row customHeight="1" ht="14.25" hidden="1">
      <c r="AV20" s="552"/>
      <c r="AW20" s="552"/>
      <c r="AX20" s="552"/>
      <c r="AY20" s="552"/>
      <c r="AZ20" s="552"/>
      <c r="BA20" s="1211">
        <v>0</v>
      </c>
    </row>
    <row customHeight="1" ht="14.25" hidden="1">
      <c r="O21" s="1423" t="s">
        <v>547</v>
      </c>
      <c r="X21" s="1401"/>
      <c r="Z21" s="1401"/>
      <c r="AA21" s="383"/>
      <c r="AP21" s="1401"/>
      <c r="AR21" s="1401"/>
      <c r="AS21" s="383"/>
      <c r="AV21" s="552"/>
      <c r="AW21" s="552"/>
      <c r="AX21" s="552"/>
      <c r="AY21" s="552"/>
      <c r="AZ21" s="552"/>
      <c r="BA21" s="1211">
        <v>0</v>
      </c>
    </row>
    <row customHeight="1" ht="14.25" hidden="1">
      <c r="AA22" s="383"/>
      <c r="AS22" s="383"/>
      <c r="AV22" s="552"/>
      <c r="AW22" s="552"/>
      <c r="AX22" s="552"/>
      <c r="AY22" s="552"/>
      <c r="AZ22" s="552"/>
      <c r="BA22" s="1211">
        <v>0</v>
      </c>
    </row>
    <row s="3830" customFormat="1" customHeight="1" ht="14.25" hidden="1">
      <c r="M23" s="1564"/>
      <c r="N23" s="1564"/>
      <c r="O23" s="1565" t="s">
        <v>548</v>
      </c>
      <c r="P23" s="1564"/>
      <c r="Q23" s="1566"/>
      <c r="R23" s="1566"/>
      <c r="Y23" s="1563" t="s">
        <v>550</v>
      </c>
      <c r="AA23" s="1563" t="s">
        <v>551</v>
      </c>
      <c r="AB23" s="1563" t="s">
        <v>598</v>
      </c>
      <c r="AE23" s="1563" t="s">
        <v>599</v>
      </c>
      <c r="AF23" s="1563" t="s">
        <v>598</v>
      </c>
      <c r="AI23" s="1563" t="s">
        <v>600</v>
      </c>
      <c r="AJ23" s="1563" t="s">
        <v>598</v>
      </c>
      <c r="AM23" s="1563" t="s">
        <v>601</v>
      </c>
      <c r="AQ23" s="1563" t="s">
        <v>550</v>
      </c>
      <c r="AS23" s="1563" t="s">
        <v>551</v>
      </c>
      <c r="AV23" s="1567"/>
      <c r="AW23" s="1567"/>
      <c r="AX23" s="1567"/>
      <c r="AY23" s="1567"/>
      <c r="AZ23" s="1567"/>
      <c r="BA23" s="1563">
        <v>0</v>
      </c>
    </row>
    <row customHeight="1" ht="14.25" hidden="1">
      <c r="O24" s="1420"/>
      <c r="AV24" s="552"/>
      <c r="AW24" s="552"/>
      <c r="AX24" s="552"/>
      <c r="AY24" s="552"/>
      <c r="AZ24" s="552"/>
      <c r="BA24" s="1211">
        <v>0</v>
      </c>
    </row>
    <row customHeight="1" ht="14.25" hidden="1">
      <c r="O25" s="1420"/>
      <c r="AV25" s="552"/>
      <c r="AW25" s="552"/>
      <c r="AX25" s="552"/>
      <c r="AY25" s="552"/>
      <c r="AZ25" s="552"/>
      <c r="BA25" s="1211">
        <v>0</v>
      </c>
    </row>
    <row customHeight="1" ht="14.699999999999998">
      <c r="Q26" s="347"/>
      <c r="R26" s="432"/>
      <c r="S26" s="1331"/>
      <c r="T26" s="419"/>
      <c r="U26" s="419"/>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BA26" s="1211">
        <v>14</v>
      </c>
    </row>
    <row customHeight="1" ht="27.299999999999997">
      <c r="Q27" s="347"/>
      <c r="R27" s="432"/>
      <c r="S27" s="23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04"/>
      <c r="U27" s="2304"/>
      <c r="V27" s="2304"/>
      <c r="W27" s="2304"/>
      <c r="X27" s="2304"/>
      <c r="Y27" s="2304"/>
      <c r="Z27" s="2304"/>
      <c r="AA27" s="2304"/>
      <c r="AB27" s="2304"/>
      <c r="AC27" s="2304"/>
      <c r="AD27" s="2304"/>
      <c r="AE27" s="2304"/>
      <c r="AF27" s="2304"/>
      <c r="AG27" s="2304"/>
      <c r="AH27" s="2304"/>
      <c r="AI27" s="2304"/>
      <c r="AJ27" s="2304"/>
      <c r="AK27" s="2304"/>
      <c r="AL27" s="2304"/>
      <c r="AM27" s="2304"/>
      <c r="AN27" s="2304"/>
      <c r="AO27" s="2304"/>
      <c r="AP27" s="2304"/>
      <c r="AQ27" s="2304"/>
      <c r="AR27" s="2304"/>
      <c r="AS27" s="1299"/>
      <c r="BA27" s="1211">
        <v>26</v>
      </c>
    </row>
    <row customHeight="1" ht="14.699999999999998">
      <c r="Q28" s="347"/>
      <c r="R28" s="432"/>
      <c r="S28" s="2305" t="str">
        <f>IF(org=0,"Не определено",org)</f>
        <v>МУП ЖКХ "Родник"</v>
      </c>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c r="AS28" s="1299"/>
      <c r="BA28" s="1211">
        <v>14</v>
      </c>
    </row>
    <row customHeight="1" ht="14.25">
      <c r="Q29" s="347"/>
      <c r="R29" s="432"/>
      <c r="S29" s="1331"/>
      <c r="T29" s="419"/>
      <c r="U29" s="419"/>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565"/>
      <c r="BA29" s="1211">
        <v>0</v>
      </c>
    </row>
    <row s="2983" customFormat="1" customHeight="1" ht="25.5">
      <c r="A30" s="1424"/>
      <c r="B30" s="1424"/>
      <c r="C30" s="1424"/>
      <c r="D30" s="1424"/>
      <c r="E30" s="1424"/>
      <c r="F30" s="1424"/>
      <c r="G30" s="1424"/>
      <c r="H30" s="1424"/>
      <c r="I30" s="1424"/>
      <c r="J30" s="1424"/>
      <c r="K30" s="1424"/>
      <c r="L30" s="1425"/>
      <c r="M30" s="1424"/>
      <c r="N30" s="1424"/>
      <c r="O30" s="1424"/>
      <c r="P30" s="1424"/>
      <c r="Q30" s="1424"/>
      <c r="S30" s="2306" t="s">
        <v>42</v>
      </c>
      <c r="T30" s="2306"/>
      <c r="U30" s="1428"/>
      <c r="V30" s="2307" t="str">
        <f>IF(TITLE_NAME_OR_PR_CHANGE="",IF(TITLE_NAME_OR_PR="","",TITLE_NAME_OR_PR),TITLE_NAME_OR_PR_CHANGE)</f>
        <v>Министерство по тарифам и ценам Курской области</v>
      </c>
      <c r="W30" s="2307"/>
      <c r="X30" s="2307"/>
      <c r="Y30" s="2307"/>
      <c r="Z30" s="2307"/>
      <c r="AA30" s="382"/>
      <c r="AB30" s="2307" t="str">
        <f>IF(TITLE_NAME_OR_PR_CHANGE="",IF(TITLE_NAME_OR_PR="","",TITLE_NAME_OR_PR),TITLE_NAME_OR_PR_CHANGE)</f>
        <v>Министерство по тарифам и ценам Курской области</v>
      </c>
      <c r="AC30" s="2307"/>
      <c r="AD30" s="2307"/>
      <c r="AE30" s="2307"/>
      <c r="AF30" s="2307"/>
      <c r="AG30" s="2307"/>
      <c r="AH30" s="2307"/>
      <c r="AI30" s="2307"/>
      <c r="AJ30" s="2307"/>
      <c r="AK30" s="2307"/>
      <c r="AL30" s="2307"/>
      <c r="AM30" s="2307"/>
      <c r="AN30" s="2307"/>
      <c r="AO30" s="2307"/>
      <c r="AP30" s="2307"/>
      <c r="AQ30" s="2307"/>
      <c r="AR30" s="2307"/>
      <c r="AS30" s="382"/>
      <c r="AT30" s="382"/>
      <c r="AU30" s="336"/>
      <c r="AV30" s="424"/>
      <c r="AW30" s="424"/>
      <c r="AX30" s="424"/>
      <c r="AY30" s="424"/>
      <c r="AZ30" s="424"/>
      <c r="BA30" s="474">
        <v>0</v>
      </c>
    </row>
    <row s="2983" customFormat="1" customHeight="1" ht="18.75">
      <c r="A31" s="1424"/>
      <c r="B31" s="1424"/>
      <c r="C31" s="1424"/>
      <c r="D31" s="1424"/>
      <c r="E31" s="1424"/>
      <c r="F31" s="1424"/>
      <c r="G31" s="1424"/>
      <c r="H31" s="1424"/>
      <c r="I31" s="1424"/>
      <c r="J31" s="1424"/>
      <c r="K31" s="1424"/>
      <c r="L31" s="1425"/>
      <c r="M31" s="1424"/>
      <c r="N31" s="1424"/>
      <c r="O31" s="1424"/>
      <c r="P31" s="1424"/>
      <c r="Q31" s="1424"/>
      <c r="S31" s="2306" t="s">
        <v>553</v>
      </c>
      <c r="T31" s="2306"/>
      <c r="U31" s="1428"/>
      <c r="V31" s="2320" t="str">
        <f>IF(TITLE_DATE_PR_CHANGE="",IF(TITLE_DATE_PR="","",TITLE_DATE_PR),TITLE_DATE_PR_CHANGE)</f>
        <v>45645</v>
      </c>
      <c r="W31" s="2320"/>
      <c r="X31" s="2320"/>
      <c r="Y31" s="2320"/>
      <c r="Z31" s="2320"/>
      <c r="AA31" s="382"/>
      <c r="AB31" s="2320" t="str">
        <f>IF(TITLE_DATE_PR_CHANGE="",IF(TITLE_DATE_PR="","",TITLE_DATE_PR),TITLE_DATE_PR_CHANGE)</f>
        <v>45645</v>
      </c>
      <c r="AC31" s="2320"/>
      <c r="AD31" s="2320"/>
      <c r="AE31" s="2320"/>
      <c r="AF31" s="2320"/>
      <c r="AG31" s="2320"/>
      <c r="AH31" s="2320"/>
      <c r="AI31" s="2320"/>
      <c r="AJ31" s="2320"/>
      <c r="AK31" s="2320"/>
      <c r="AL31" s="2320"/>
      <c r="AM31" s="2320"/>
      <c r="AN31" s="2320"/>
      <c r="AO31" s="2320"/>
      <c r="AP31" s="2320"/>
      <c r="AQ31" s="2320"/>
      <c r="AR31" s="2320"/>
      <c r="AS31" s="382"/>
      <c r="AT31" s="382"/>
      <c r="AU31" s="336"/>
      <c r="AV31" s="424"/>
      <c r="AW31" s="424"/>
      <c r="AX31" s="424"/>
      <c r="AY31" s="424"/>
      <c r="AZ31" s="424"/>
      <c r="BA31" s="474">
        <v>0</v>
      </c>
    </row>
    <row s="2983" customFormat="1" customHeight="1" ht="18.75">
      <c r="A32" s="1424"/>
      <c r="B32" s="1424"/>
      <c r="C32" s="1424"/>
      <c r="D32" s="1424"/>
      <c r="E32" s="1424"/>
      <c r="F32" s="1424"/>
      <c r="G32" s="1424"/>
      <c r="H32" s="1424"/>
      <c r="I32" s="1424"/>
      <c r="J32" s="1424"/>
      <c r="K32" s="1424"/>
      <c r="L32" s="1425"/>
      <c r="M32" s="1424"/>
      <c r="N32" s="1424"/>
      <c r="O32" s="1424"/>
      <c r="P32" s="1424"/>
      <c r="Q32" s="1424"/>
      <c r="S32" s="2306" t="s">
        <v>554</v>
      </c>
      <c r="T32" s="2306"/>
      <c r="U32" s="1428"/>
      <c r="V32" s="2307" t="str">
        <f>IF(TITLE_NUMBER_PR_CHANGE="",IF(TITLE_NUMBER_PR="","",TITLE_NUMBER_PR),TITLE_NUMBER_PR_CHANGE)</f>
        <v>208-вод</v>
      </c>
      <c r="W32" s="2307"/>
      <c r="X32" s="2307"/>
      <c r="Y32" s="2307"/>
      <c r="Z32" s="2307"/>
      <c r="AA32" s="382"/>
      <c r="AB32" s="2307" t="str">
        <f>IF(TITLE_NUMBER_PR_CHANGE="",IF(TITLE_NUMBER_PR="","",TITLE_NUMBER_PR),TITLE_NUMBER_PR_CHANGE)</f>
        <v>208-вод</v>
      </c>
      <c r="AC32" s="2307"/>
      <c r="AD32" s="2307"/>
      <c r="AE32" s="2307"/>
      <c r="AF32" s="2307"/>
      <c r="AG32" s="2307"/>
      <c r="AH32" s="2307"/>
      <c r="AI32" s="2307"/>
      <c r="AJ32" s="2307"/>
      <c r="AK32" s="2307"/>
      <c r="AL32" s="2307"/>
      <c r="AM32" s="2307"/>
      <c r="AN32" s="2307"/>
      <c r="AO32" s="2307"/>
      <c r="AP32" s="2307"/>
      <c r="AQ32" s="2307"/>
      <c r="AR32" s="2307"/>
      <c r="AS32" s="382"/>
      <c r="AT32" s="382"/>
      <c r="AU32" s="336"/>
      <c r="AV32" s="424"/>
      <c r="AW32" s="424"/>
      <c r="AX32" s="424"/>
      <c r="AY32" s="424"/>
      <c r="AZ32" s="424"/>
      <c r="BA32" s="474">
        <v>0</v>
      </c>
    </row>
    <row s="2983" customFormat="1" customHeight="1" ht="18.75">
      <c r="A33" s="1424"/>
      <c r="B33" s="1424"/>
      <c r="C33" s="1424"/>
      <c r="D33" s="1424"/>
      <c r="E33" s="1424"/>
      <c r="F33" s="1424"/>
      <c r="G33" s="1424"/>
      <c r="H33" s="1424"/>
      <c r="I33" s="1424"/>
      <c r="J33" s="1424"/>
      <c r="K33" s="1424"/>
      <c r="L33" s="1425"/>
      <c r="M33" s="1424"/>
      <c r="N33" s="1424"/>
      <c r="O33" s="1424"/>
      <c r="P33" s="1424"/>
      <c r="Q33" s="1424"/>
      <c r="S33" s="2306" t="s">
        <v>44</v>
      </c>
      <c r="T33" s="2306"/>
      <c r="U33" s="1428"/>
      <c r="V33" s="2307" t="str">
        <f>IF(TITLE_IST_PUB_CHANGE="",IF(TITLE_IST_PUB="","",TITLE_IST_PUB),TITLE_IST_PUB_CHANGE)</f>
        <v>Газета "Курская правда" №155 от 26.12.2024 г.</v>
      </c>
      <c r="W33" s="2307"/>
      <c r="X33" s="2307"/>
      <c r="Y33" s="2307"/>
      <c r="Z33" s="2307"/>
      <c r="AA33" s="382"/>
      <c r="AB33" s="2307" t="str">
        <f>IF(TITLE_IST_PUB_CHANGE="",IF(TITLE_IST_PUB="","",TITLE_IST_PUB),TITLE_IST_PUB_CHANGE)</f>
        <v>Газета "Курская правда" №155 от 26.12.2024 г.</v>
      </c>
      <c r="AC33" s="2307"/>
      <c r="AD33" s="2307"/>
      <c r="AE33" s="2307"/>
      <c r="AF33" s="2307"/>
      <c r="AG33" s="2307"/>
      <c r="AH33" s="2307"/>
      <c r="AI33" s="2307"/>
      <c r="AJ33" s="2307"/>
      <c r="AK33" s="2307"/>
      <c r="AL33" s="2307"/>
      <c r="AM33" s="2307"/>
      <c r="AN33" s="2307"/>
      <c r="AO33" s="2307"/>
      <c r="AP33" s="2307"/>
      <c r="AQ33" s="2307"/>
      <c r="AR33" s="2307"/>
      <c r="AS33" s="382"/>
      <c r="AT33" s="382"/>
      <c r="AU33" s="336"/>
      <c r="AV33" s="424"/>
      <c r="AW33" s="424"/>
      <c r="AX33" s="424"/>
      <c r="AY33" s="424"/>
      <c r="AZ33" s="424"/>
      <c r="BA33" s="474">
        <v>0</v>
      </c>
    </row>
    <row customHeight="1" ht="14.25" hidden="1">
      <c r="Q34" s="347"/>
      <c r="R34" s="432"/>
      <c r="S34" s="1331"/>
      <c r="T34" s="419"/>
      <c r="U34" s="419"/>
      <c r="V34" s="378"/>
      <c r="W34" s="378"/>
      <c r="X34" s="378"/>
      <c r="Y34" s="378"/>
      <c r="Z34" s="378"/>
      <c r="AA34" s="378"/>
      <c r="AB34" s="378"/>
      <c r="AC34" s="378"/>
      <c r="AD34" s="378"/>
      <c r="AE34" s="378"/>
      <c r="AF34" s="378"/>
      <c r="AG34" s="378"/>
      <c r="AH34" s="378"/>
      <c r="AI34" s="378"/>
      <c r="AJ34" s="378"/>
      <c r="AK34" s="378"/>
      <c r="AL34" s="378"/>
      <c r="AM34" s="378"/>
      <c r="AN34" s="378"/>
      <c r="AO34" s="378"/>
      <c r="AP34" s="378"/>
      <c r="AQ34" s="378"/>
      <c r="AR34" s="378"/>
      <c r="AS34" s="378"/>
      <c r="AT34" s="565"/>
      <c r="BA34" s="1211">
        <v>0</v>
      </c>
    </row>
    <row s="2983" customFormat="1" customHeight="1" ht="18.75" hidden="1">
      <c r="A35" s="1424"/>
      <c r="B35" s="1424"/>
      <c r="C35" s="1424"/>
      <c r="D35" s="1424"/>
      <c r="E35" s="1424"/>
      <c r="F35" s="1424"/>
      <c r="G35" s="1424"/>
      <c r="H35" s="1424"/>
      <c r="I35" s="1424"/>
      <c r="J35" s="1424"/>
      <c r="K35" s="1424"/>
      <c r="L35" s="1425"/>
      <c r="M35" s="1424"/>
      <c r="N35" s="1424"/>
      <c r="O35" s="1424"/>
      <c r="P35" s="1424"/>
      <c r="Q35" s="1424"/>
      <c r="S35" s="2306" t="s">
        <v>553</v>
      </c>
      <c r="T35" s="2306"/>
      <c r="U35" s="1428"/>
      <c r="V35" s="2320" t="str">
        <f>IF(TITLE_DATE_PR_CHANGE="",IF(TITLE_DATE_PR="","",TITLE_DATE_PR),TITLE_DATE_PR_CHANGE)</f>
        <v>45645</v>
      </c>
      <c r="W35" s="2320"/>
      <c r="X35" s="2320"/>
      <c r="Y35" s="2320"/>
      <c r="Z35" s="2320"/>
      <c r="AA35" s="382"/>
      <c r="AB35" s="2320" t="str">
        <f>IF(TITLE_DATE_PR_CHANGE="",IF(TITLE_DATE_PR="","",TITLE_DATE_PR),TITLE_DATE_PR_CHANGE)</f>
        <v>45645</v>
      </c>
      <c r="AC35" s="2320"/>
      <c r="AD35" s="2320"/>
      <c r="AE35" s="2320"/>
      <c r="AF35" s="2320"/>
      <c r="AG35" s="2320"/>
      <c r="AH35" s="2320"/>
      <c r="AI35" s="2320"/>
      <c r="AJ35" s="2320"/>
      <c r="AK35" s="2320"/>
      <c r="AL35" s="2320"/>
      <c r="AM35" s="2320"/>
      <c r="AN35" s="2320"/>
      <c r="AO35" s="2320"/>
      <c r="AP35" s="2320"/>
      <c r="AQ35" s="2320"/>
      <c r="AR35" s="2320"/>
      <c r="AS35" s="382"/>
      <c r="AT35" s="382"/>
      <c r="AU35" s="336"/>
      <c r="AV35" s="424"/>
      <c r="AW35" s="424"/>
      <c r="AX35" s="424"/>
      <c r="AY35" s="424"/>
      <c r="AZ35" s="424"/>
      <c r="BA35" s="474">
        <v>0</v>
      </c>
    </row>
    <row s="2983" customFormat="1" customHeight="1" ht="18" hidden="1">
      <c r="A36" s="1424"/>
      <c r="B36" s="1424"/>
      <c r="C36" s="1424"/>
      <c r="D36" s="1424"/>
      <c r="E36" s="1424"/>
      <c r="F36" s="1424"/>
      <c r="G36" s="1424"/>
      <c r="H36" s="1424"/>
      <c r="I36" s="1424"/>
      <c r="J36" s="1424"/>
      <c r="K36" s="1424"/>
      <c r="L36" s="1425"/>
      <c r="M36" s="1424"/>
      <c r="N36" s="1424"/>
      <c r="O36" s="1424"/>
      <c r="P36" s="1424"/>
      <c r="Q36" s="1424"/>
      <c r="S36" s="2306" t="s">
        <v>554</v>
      </c>
      <c r="T36" s="2306"/>
      <c r="U36" s="1428"/>
      <c r="V36" s="2307" t="str">
        <f>IF(TITLE_NUMBER_PR_CHANGE="",IF(TITLE_NUMBER_PR="","",TITLE_NUMBER_PR),TITLE_NUMBER_PR_CHANGE)</f>
        <v>208-вод</v>
      </c>
      <c r="W36" s="2307"/>
      <c r="X36" s="2307"/>
      <c r="Y36" s="2307"/>
      <c r="Z36" s="2307"/>
      <c r="AA36" s="382"/>
      <c r="AB36" s="2307" t="str">
        <f>IF(TITLE_NUMBER_PR_CHANGE="",IF(TITLE_NUMBER_PR="","",TITLE_NUMBER_PR),TITLE_NUMBER_PR_CHANGE)</f>
        <v>208-вод</v>
      </c>
      <c r="AC36" s="2307"/>
      <c r="AD36" s="2307"/>
      <c r="AE36" s="2307"/>
      <c r="AF36" s="2307"/>
      <c r="AG36" s="2307"/>
      <c r="AH36" s="2307"/>
      <c r="AI36" s="2307"/>
      <c r="AJ36" s="2307"/>
      <c r="AK36" s="2307"/>
      <c r="AL36" s="2307"/>
      <c r="AM36" s="2307"/>
      <c r="AN36" s="2307"/>
      <c r="AO36" s="2307"/>
      <c r="AP36" s="2307"/>
      <c r="AQ36" s="2307"/>
      <c r="AR36" s="2307"/>
      <c r="AS36" s="382"/>
      <c r="AT36" s="382"/>
      <c r="AU36" s="336"/>
      <c r="AV36" s="424"/>
      <c r="AW36" s="424"/>
      <c r="AX36" s="424"/>
      <c r="AY36" s="424"/>
      <c r="AZ36" s="424"/>
      <c r="BA36" s="474">
        <v>0</v>
      </c>
    </row>
    <row s="2983" customFormat="1" customHeight="1" ht="1.05">
      <c r="A37" s="1424"/>
      <c r="B37" s="1424"/>
      <c r="C37" s="1424"/>
      <c r="D37" s="1424"/>
      <c r="E37" s="1424"/>
      <c r="F37" s="1424"/>
      <c r="G37" s="1424"/>
      <c r="H37" s="1424"/>
      <c r="I37" s="1424"/>
      <c r="J37" s="1424"/>
      <c r="K37" s="1424"/>
      <c r="L37" s="1425"/>
      <c r="M37" s="1424"/>
      <c r="N37" s="1424"/>
      <c r="O37" s="1424"/>
      <c r="P37" s="1424"/>
      <c r="Q37" s="1424"/>
      <c r="S37" s="379"/>
      <c r="T37" s="379"/>
      <c r="U37" s="1396"/>
      <c r="V37" s="382"/>
      <c r="W37" s="382"/>
      <c r="X37" s="382"/>
      <c r="Y37" s="382"/>
      <c r="Z37" s="382"/>
      <c r="AA37" s="334" t="s">
        <v>557</v>
      </c>
      <c r="AB37" s="382"/>
      <c r="AC37" s="382"/>
      <c r="AD37" s="382"/>
      <c r="AE37" s="382"/>
      <c r="AF37" s="382"/>
      <c r="AG37" s="382"/>
      <c r="AH37" s="382"/>
      <c r="AI37" s="382"/>
      <c r="AJ37" s="382"/>
      <c r="AK37" s="382"/>
      <c r="AL37" s="382"/>
      <c r="AM37" s="382"/>
      <c r="AN37" s="382"/>
      <c r="AO37" s="382"/>
      <c r="AP37" s="382"/>
      <c r="AQ37" s="382"/>
      <c r="AR37" s="382"/>
      <c r="AS37" s="334" t="s">
        <v>557</v>
      </c>
      <c r="AV37" s="424"/>
      <c r="AW37" s="424"/>
      <c r="AX37" s="424"/>
      <c r="AY37" s="424"/>
      <c r="AZ37" s="424"/>
      <c r="BA37" s="474">
        <v>1</v>
      </c>
    </row>
    <row customHeight="1" ht="14.699999999999998">
      <c r="Q38" s="347"/>
      <c r="R38" s="432"/>
      <c r="S38" s="1331"/>
      <c r="T38" s="419"/>
      <c r="U38" s="1300"/>
      <c r="V38" s="2308"/>
      <c r="W38" s="2308"/>
      <c r="X38" s="2308"/>
      <c r="Y38" s="2308"/>
      <c r="Z38" s="2308"/>
      <c r="AA38" s="2308"/>
      <c r="AB38" s="2308"/>
      <c r="AC38" s="2308"/>
      <c r="AD38" s="2308"/>
      <c r="AE38" s="2308"/>
      <c r="AF38" s="2308"/>
      <c r="AG38" s="2308"/>
      <c r="AH38" s="2308"/>
      <c r="AI38" s="2308"/>
      <c r="AJ38" s="2308"/>
      <c r="AK38" s="2308"/>
      <c r="AL38" s="2308"/>
      <c r="AM38" s="2308"/>
      <c r="AN38" s="2308"/>
      <c r="AO38" s="2308"/>
      <c r="AP38" s="2308"/>
      <c r="AQ38" s="2308"/>
      <c r="AR38" s="2308"/>
      <c r="AS38" s="2308"/>
      <c r="BA38" s="1211">
        <v>14</v>
      </c>
    </row>
    <row customHeight="1" ht="14.699999999999998">
      <c r="Q39" s="347"/>
      <c r="R39" s="432"/>
      <c r="S39" s="2183" t="s">
        <v>432</v>
      </c>
      <c r="T39" s="2183"/>
      <c r="U39" s="2183"/>
      <c r="V39" s="2183"/>
      <c r="W39" s="2183"/>
      <c r="X39" s="2183"/>
      <c r="Y39" s="2183"/>
      <c r="Z39" s="2183"/>
      <c r="AA39" s="2183"/>
      <c r="AB39" s="2231"/>
      <c r="AC39" s="2231"/>
      <c r="AD39" s="2231"/>
      <c r="AE39" s="2231"/>
      <c r="AF39" s="2183"/>
      <c r="AG39" s="2183"/>
      <c r="AH39" s="2183"/>
      <c r="AI39" s="2183"/>
      <c r="AJ39" s="2183"/>
      <c r="AK39" s="2183"/>
      <c r="AL39" s="2183"/>
      <c r="AM39" s="2183"/>
      <c r="AN39" s="2183"/>
      <c r="AO39" s="2183"/>
      <c r="AP39" s="2183"/>
      <c r="AQ39" s="2183"/>
      <c r="AR39" s="2183"/>
      <c r="AS39" s="2183"/>
      <c r="AT39" s="2183"/>
      <c r="AU39" s="2183" t="s">
        <v>433</v>
      </c>
      <c r="BA39" s="1211">
        <v>14</v>
      </c>
    </row>
    <row customHeight="1" ht="14.699999999999998">
      <c r="Q40" s="347"/>
      <c r="R40" s="432"/>
      <c r="S40" s="2329" t="s">
        <v>92</v>
      </c>
      <c r="T40" s="2265" t="s">
        <v>602</v>
      </c>
      <c r="U40" s="357"/>
      <c r="V40" s="2331"/>
      <c r="W40" s="2331"/>
      <c r="X40" s="2331"/>
      <c r="Y40" s="2331"/>
      <c r="Z40" s="2332"/>
      <c r="AA40" s="2392" t="s">
        <v>560</v>
      </c>
      <c r="AB40" s="2384" t="s">
        <v>603</v>
      </c>
      <c r="AC40" s="2347"/>
      <c r="AD40" s="2347"/>
      <c r="AE40" s="2385"/>
      <c r="AF40" s="2347" t="s">
        <v>604</v>
      </c>
      <c r="AG40" s="2347"/>
      <c r="AH40" s="2347"/>
      <c r="AI40" s="2385"/>
      <c r="AJ40" s="2384" t="s">
        <v>605</v>
      </c>
      <c r="AK40" s="2347"/>
      <c r="AL40" s="2347"/>
      <c r="AM40" s="2385"/>
      <c r="AN40" s="2384" t="s">
        <v>559</v>
      </c>
      <c r="AO40" s="2347"/>
      <c r="AP40" s="2331"/>
      <c r="AQ40" s="2331"/>
      <c r="AR40" s="2332"/>
      <c r="AS40" s="2333" t="s">
        <v>560</v>
      </c>
      <c r="AT40" s="2336" t="s">
        <v>562</v>
      </c>
      <c r="AU40" s="2183"/>
      <c r="BA40" s="1211">
        <v>14</v>
      </c>
    </row>
    <row customHeight="1" ht="35.699999999999996">
      <c r="Q41" s="347"/>
      <c r="R41" s="432"/>
      <c r="S41" s="2329"/>
      <c r="T41" s="2265"/>
      <c r="U41" s="1087"/>
      <c r="V41" s="2183" t="s">
        <v>606</v>
      </c>
      <c r="W41" s="2183"/>
      <c r="X41" s="2350" t="s">
        <v>566</v>
      </c>
      <c r="Y41" s="2369"/>
      <c r="Z41" s="2370"/>
      <c r="AA41" s="2393"/>
      <c r="AB41" s="2386"/>
      <c r="AC41" s="2387"/>
      <c r="AD41" s="2387"/>
      <c r="AE41" s="2388"/>
      <c r="AF41" s="2387"/>
      <c r="AG41" s="2387"/>
      <c r="AH41" s="2387"/>
      <c r="AI41" s="2388"/>
      <c r="AJ41" s="2386"/>
      <c r="AK41" s="2387"/>
      <c r="AL41" s="2387"/>
      <c r="AM41" s="2387"/>
      <c r="AN41" s="2183" t="s">
        <v>606</v>
      </c>
      <c r="AO41" s="2183"/>
      <c r="AP41" s="2369" t="s">
        <v>566</v>
      </c>
      <c r="AQ41" s="2369"/>
      <c r="AR41" s="2370"/>
      <c r="AS41" s="2334"/>
      <c r="AT41" s="2337"/>
      <c r="AU41" s="2183"/>
      <c r="BA41" s="1211">
        <v>34</v>
      </c>
    </row>
    <row customHeight="1" ht="14.699999999999998">
      <c r="Q42" s="347"/>
      <c r="R42" s="432"/>
      <c r="S42" s="2329"/>
      <c r="T42" s="2265"/>
      <c r="U42" s="1087"/>
      <c r="V42" s="2396" t="str">
        <f>IF($AN$42&lt;&gt;"",$AN$42,"")</f>
        <v/>
      </c>
      <c r="W42" s="2396"/>
      <c r="X42" s="2351"/>
      <c r="Y42" s="2371"/>
      <c r="Z42" s="2372"/>
      <c r="AA42" s="2393"/>
      <c r="AB42" s="2386"/>
      <c r="AC42" s="2387"/>
      <c r="AD42" s="2387"/>
      <c r="AE42" s="2388"/>
      <c r="AF42" s="2387"/>
      <c r="AG42" s="2387"/>
      <c r="AH42" s="2387"/>
      <c r="AI42" s="2388"/>
      <c r="AJ42" s="2386"/>
      <c r="AK42" s="2387"/>
      <c r="AL42" s="2387"/>
      <c r="AM42" s="2387"/>
      <c r="AN42" s="2395"/>
      <c r="AO42" s="2395"/>
      <c r="AP42" s="2371"/>
      <c r="AQ42" s="2371"/>
      <c r="AR42" s="2372"/>
      <c r="AS42" s="2334"/>
      <c r="AT42" s="2337"/>
      <c r="AU42" s="2183"/>
      <c r="BA42" s="1211">
        <v>14</v>
      </c>
    </row>
    <row customHeight="1" ht="14.699999999999998">
      <c r="A43" s="1426"/>
      <c r="B43" s="1426" t="s">
        <v>214</v>
      </c>
      <c r="C43" s="1426" t="s">
        <v>215</v>
      </c>
      <c r="D43" s="1426" t="s">
        <v>216</v>
      </c>
      <c r="E43" s="1420" t="s">
        <v>567</v>
      </c>
      <c r="F43" s="1420" t="s">
        <v>568</v>
      </c>
      <c r="G43" s="1420" t="s">
        <v>569</v>
      </c>
      <c r="H43" s="1420" t="s">
        <v>570</v>
      </c>
      <c r="I43" s="1420" t="s">
        <v>571</v>
      </c>
      <c r="J43" s="1420" t="s">
        <v>572</v>
      </c>
      <c r="K43" s="1420" t="s">
        <v>573</v>
      </c>
      <c r="L43" s="1420" t="s">
        <v>548</v>
      </c>
      <c r="Q43" s="347"/>
      <c r="R43" s="432"/>
      <c r="S43" s="2329"/>
      <c r="T43" s="2265"/>
      <c r="U43" s="358"/>
      <c r="V43" s="1386" t="s">
        <v>607</v>
      </c>
      <c r="W43" s="1386" t="s">
        <v>608</v>
      </c>
      <c r="X43" s="1394" t="s">
        <v>576</v>
      </c>
      <c r="Y43" s="2326" t="s">
        <v>577</v>
      </c>
      <c r="Z43" s="2327"/>
      <c r="AA43" s="2394"/>
      <c r="AB43" s="2389"/>
      <c r="AC43" s="2390"/>
      <c r="AD43" s="2390"/>
      <c r="AE43" s="2391"/>
      <c r="AF43" s="2390"/>
      <c r="AG43" s="2390"/>
      <c r="AH43" s="2390"/>
      <c r="AI43" s="2391"/>
      <c r="AJ43" s="2389"/>
      <c r="AK43" s="2390"/>
      <c r="AL43" s="2390"/>
      <c r="AM43" s="2391"/>
      <c r="AN43" s="1916" t="s">
        <v>607</v>
      </c>
      <c r="AO43" s="1916" t="s">
        <v>608</v>
      </c>
      <c r="AP43" s="1394" t="s">
        <v>576</v>
      </c>
      <c r="AQ43" s="2326" t="s">
        <v>577</v>
      </c>
      <c r="AR43" s="2327"/>
      <c r="AS43" s="2335"/>
      <c r="AT43" s="2338"/>
      <c r="AU43" s="2183"/>
      <c r="BA43" s="1211">
        <v>14</v>
      </c>
    </row>
    <row s="3442" customFormat="1" customHeight="1" ht="11.25" hidden="1">
      <c r="A44" s="1426"/>
      <c r="B44" s="1426"/>
      <c r="C44" s="1426"/>
      <c r="D44" s="1426"/>
      <c r="E44" s="1426"/>
      <c r="F44" s="1426"/>
      <c r="G44" s="1426"/>
      <c r="H44" s="1426"/>
      <c r="I44" s="1426"/>
      <c r="J44" s="1426"/>
      <c r="K44" s="1426"/>
      <c r="L44" s="1420"/>
      <c r="M44" s="1418"/>
      <c r="N44" s="1418"/>
      <c r="O44" s="1418"/>
      <c r="P44" s="566"/>
      <c r="Q44" s="1310"/>
      <c r="R44" s="1310">
        <v>1</v>
      </c>
      <c r="S44" s="1333" t="s">
        <v>191</v>
      </c>
      <c r="T44" s="1311" t="s">
        <v>108</v>
      </c>
      <c r="U44" s="1301" t="str">
        <f>OFFSET(U44,0,-1)</f>
        <v>2</v>
      </c>
      <c r="V44" s="1391">
        <f>OFFSET(V44,0,-1)+1</f>
        <v>3</v>
      </c>
      <c r="W44" s="1391">
        <f>OFFSET(W44,0,-1)+1</f>
        <v>4</v>
      </c>
      <c r="X44" s="1391">
        <f>OFFSET(X44,0,-1)+1</f>
        <v>5</v>
      </c>
      <c r="Y44" s="2328">
        <f>OFFSET(Y44,0,-1)+1</f>
        <v>6</v>
      </c>
      <c r="Z44" s="2328"/>
      <c r="AA44" s="1391">
        <f>OFFSET(AA44,0,-2)+1</f>
        <v>7</v>
      </c>
      <c r="AB44" s="1397">
        <f>OFFSET(AB44,0,-1)+1</f>
        <v>8</v>
      </c>
      <c r="AC44" s="1397"/>
      <c r="AD44" s="1397"/>
      <c r="AE44" s="1397"/>
      <c r="AF44" s="1391"/>
      <c r="AG44" s="1391"/>
      <c r="AH44" s="1391"/>
      <c r="AI44" s="1391"/>
      <c r="AJ44" s="1391"/>
      <c r="AK44" s="1391"/>
      <c r="AL44" s="1391"/>
      <c r="AM44" s="1391"/>
      <c r="AN44" s="1391">
        <f>OFFSET(AN44,0,-1)+1</f>
        <v>1</v>
      </c>
      <c r="AO44" s="1391">
        <f>OFFSET(AO44,0,-1)+1</f>
        <v>2</v>
      </c>
      <c r="AP44" s="1391">
        <f>OFFSET(AP44,0,-1)+1</f>
        <v>3</v>
      </c>
      <c r="AQ44" s="2328">
        <f>OFFSET(AQ44,0,-1)+1</f>
        <v>4</v>
      </c>
      <c r="AR44" s="2328"/>
      <c r="AS44" s="1391">
        <f>OFFSET(AS44,0,-2)+1</f>
        <v>5</v>
      </c>
      <c r="AT44" s="1301">
        <f>OFFSET(AT44,0,-1)</f>
        <v>5</v>
      </c>
      <c r="AU44" s="1391">
        <f>OFFSET(AU44,0,-1)+1</f>
        <v>6</v>
      </c>
      <c r="AV44" s="567"/>
      <c r="AW44" s="567"/>
      <c r="AX44" s="567"/>
      <c r="AY44" s="567"/>
      <c r="AZ44" s="567"/>
      <c r="BA44" s="552">
        <v>0</v>
      </c>
    </row>
    <row customHeight="1" ht="107.25">
      <c r="A45" s="1419" t="s">
        <v>271</v>
      </c>
      <c r="B45" s="1419"/>
      <c r="C45" s="1419"/>
      <c r="D45" s="1419"/>
      <c r="E45" s="2314">
        <v>1</v>
      </c>
      <c r="F45" s="1419"/>
      <c r="G45" s="1419"/>
      <c r="H45" s="1419"/>
      <c r="I45" s="1419"/>
      <c r="J45" s="1419"/>
      <c r="K45" s="1419"/>
      <c r="L45" s="1420"/>
      <c r="M45" s="1421"/>
      <c r="N45" s="1421"/>
      <c r="O45" s="1421"/>
      <c r="P45" s="1465"/>
      <c r="Q45" s="929"/>
      <c r="R45" s="411"/>
      <c r="S45" s="1392">
        <f>INDEX(PT_DIFFERENTIATION_NUM_NTAR,MATCH(A45,PT_DIFFERENTIATION_NTAR_ID,0))</f>
        <v>0</v>
      </c>
      <c r="T45" s="354" t="s">
        <v>202</v>
      </c>
      <c r="U45" s="356"/>
      <c r="V45" s="2299"/>
      <c r="W45" s="2299"/>
      <c r="X45" s="2299"/>
      <c r="Y45" s="2299"/>
      <c r="Z45" s="2299"/>
      <c r="AA45" s="2300"/>
      <c r="AB45" s="2298" t="str">
        <f>INDEX(PT_DIFFERENTIATION_NTAR,MATCH(A45,PT_DIFFERENTIATION_NTAR_ID,0))</f>
        <v/>
      </c>
      <c r="AC45" s="2299"/>
      <c r="AD45" s="2299"/>
      <c r="AE45" s="2299"/>
      <c r="AF45" s="2299"/>
      <c r="AG45" s="2299"/>
      <c r="AH45" s="2299"/>
      <c r="AI45" s="2299"/>
      <c r="AJ45" s="2299"/>
      <c r="AK45" s="2299"/>
      <c r="AL45" s="2299"/>
      <c r="AM45" s="2299"/>
      <c r="AN45" s="2299"/>
      <c r="AO45" s="2299"/>
      <c r="AP45" s="2299"/>
      <c r="AQ45" s="2299"/>
      <c r="AR45" s="2299"/>
      <c r="AS45" s="2299"/>
      <c r="AT45" s="2300"/>
      <c r="AU45" s="131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56"/>
      <c r="AX45" s="556" t="str">
        <f>IF(T45="","",T45)</f>
        <v>Наименование тарифа</v>
      </c>
      <c r="AY45" s="556"/>
      <c r="AZ45" s="556"/>
      <c r="BA45" s="1211">
        <v>102</v>
      </c>
    </row>
    <row customHeight="1" ht="22.049999999999997">
      <c r="A46" s="1419" t="s">
        <v>271</v>
      </c>
      <c r="B46" s="1419" t="s">
        <v>272</v>
      </c>
      <c r="C46" s="1419"/>
      <c r="D46" s="1419"/>
      <c r="E46" s="2315"/>
      <c r="F46" s="2314">
        <v>1</v>
      </c>
      <c r="G46" s="1419"/>
      <c r="H46" s="1419"/>
      <c r="I46" s="1419"/>
      <c r="J46" s="1419"/>
      <c r="K46" s="1419"/>
      <c r="L46" s="1420"/>
      <c r="M46" s="1421"/>
      <c r="N46" s="1421"/>
      <c r="O46" s="1421"/>
      <c r="P46" s="1466"/>
      <c r="Q46" s="1467"/>
      <c r="R46" s="409"/>
      <c r="S46" s="1392" t="str">
        <f>INDEX(PT_DIFFERENTIATION_NUM_TER,MATCH(B46,PT_DIFFERENTIATION_TER_ID,0))</f>
        <v>.</v>
      </c>
      <c r="T46" s="364" t="s">
        <v>529</v>
      </c>
      <c r="U46" s="356"/>
      <c r="V46" s="2299"/>
      <c r="W46" s="2299"/>
      <c r="X46" s="2299"/>
      <c r="Y46" s="2299"/>
      <c r="Z46" s="2299"/>
      <c r="AA46" s="2300"/>
      <c r="AB46" s="2298" t="str">
        <f>INDEX(PT_DIFFERENTIATION_TER,MATCH(B46,PT_DIFFERENTIATION_TER_ID,0))</f>
        <v/>
      </c>
      <c r="AC46" s="2299"/>
      <c r="AD46" s="2299"/>
      <c r="AE46" s="2299"/>
      <c r="AF46" s="2299"/>
      <c r="AG46" s="2299"/>
      <c r="AH46" s="2299"/>
      <c r="AI46" s="2299"/>
      <c r="AJ46" s="2299"/>
      <c r="AK46" s="2299"/>
      <c r="AL46" s="2299"/>
      <c r="AM46" s="2299"/>
      <c r="AN46" s="2299"/>
      <c r="AO46" s="2299"/>
      <c r="AP46" s="2299"/>
      <c r="AQ46" s="2299"/>
      <c r="AR46" s="2299"/>
      <c r="AS46" s="2299"/>
      <c r="AT46" s="2300"/>
      <c r="AU46" s="1314" t="s">
        <v>530</v>
      </c>
      <c r="AW46" s="556"/>
      <c r="AX46" s="556" t="str">
        <f>IF(T46="","",T46)</f>
        <v>Территория действия тарифа</v>
      </c>
      <c r="AY46" s="556"/>
      <c r="AZ46" s="556"/>
      <c r="BA46" s="1211">
        <v>21</v>
      </c>
    </row>
    <row customHeight="1" ht="24">
      <c r="A47" s="1419" t="s">
        <v>271</v>
      </c>
      <c r="B47" s="1419" t="s">
        <v>272</v>
      </c>
      <c r="C47" s="1419" t="s">
        <v>273</v>
      </c>
      <c r="D47" s="1419"/>
      <c r="E47" s="2315"/>
      <c r="F47" s="2315"/>
      <c r="G47" s="2314">
        <v>1</v>
      </c>
      <c r="H47" s="1419"/>
      <c r="I47" s="1419"/>
      <c r="J47" s="1419"/>
      <c r="K47" s="1419"/>
      <c r="L47" s="1420"/>
      <c r="M47" s="1421"/>
      <c r="N47" s="1421"/>
      <c r="O47" s="1421"/>
      <c r="P47" s="1468"/>
      <c r="Q47" s="1467"/>
      <c r="R47" s="409"/>
      <c r="S47" s="1392" t="str">
        <f>INDEX(PT_DIFFERENTIATION_NUM_CS,MATCH(C47,PT_DIFFERENTIATION_CS_ID,0))</f>
        <v>..</v>
      </c>
      <c r="T47" s="365" t="s">
        <v>531</v>
      </c>
      <c r="U47" s="356"/>
      <c r="V47" s="2299"/>
      <c r="W47" s="2299"/>
      <c r="X47" s="2299"/>
      <c r="Y47" s="2299"/>
      <c r="Z47" s="2299"/>
      <c r="AA47" s="2300"/>
      <c r="AB47" s="2298" t="str">
        <f>INDEX(PT_DIFFERENTIATION_CS,MATCH(C47,PT_DIFFERENTIATION_CS_ID,0))</f>
        <v/>
      </c>
      <c r="AC47" s="2299"/>
      <c r="AD47" s="2299"/>
      <c r="AE47" s="2299"/>
      <c r="AF47" s="2299"/>
      <c r="AG47" s="2299"/>
      <c r="AH47" s="2299"/>
      <c r="AI47" s="2299"/>
      <c r="AJ47" s="2299"/>
      <c r="AK47" s="2299"/>
      <c r="AL47" s="2299"/>
      <c r="AM47" s="2299"/>
      <c r="AN47" s="2299"/>
      <c r="AO47" s="2299"/>
      <c r="AP47" s="2299"/>
      <c r="AQ47" s="2299"/>
      <c r="AR47" s="2299"/>
      <c r="AS47" s="2299"/>
      <c r="AT47" s="2300"/>
      <c r="AU47" s="1314" t="s">
        <v>532</v>
      </c>
      <c r="AW47" s="556"/>
      <c r="AX47" s="556" t="str">
        <f>IF(T47="","",T47)</f>
        <v>Наименование системы теплоснабжения </v>
      </c>
      <c r="AY47" s="556"/>
      <c r="AZ47" s="556"/>
      <c r="BA47" s="1211">
        <v>23</v>
      </c>
    </row>
    <row customHeight="1" ht="21">
      <c r="A48" s="1419" t="s">
        <v>271</v>
      </c>
      <c r="B48" s="1419" t="s">
        <v>272</v>
      </c>
      <c r="C48" s="1419" t="s">
        <v>273</v>
      </c>
      <c r="D48" s="1419" t="s">
        <v>274</v>
      </c>
      <c r="E48" s="2315"/>
      <c r="F48" s="2315"/>
      <c r="G48" s="2315"/>
      <c r="H48" s="2314">
        <v>1</v>
      </c>
      <c r="I48" s="1419"/>
      <c r="J48" s="1419"/>
      <c r="K48" s="1419"/>
      <c r="L48" s="1420"/>
      <c r="M48" s="1421"/>
      <c r="N48" s="1421"/>
      <c r="O48" s="1421"/>
      <c r="P48" s="1468"/>
      <c r="Q48" s="1467"/>
      <c r="R48" s="409"/>
      <c r="S48" s="1392" t="str">
        <f>INDEX(PT_DIFFERENTIATION_NUM_IST_TE,MATCH(D48,PT_DIFFERENTIATION_IST_TE_ID,0))</f>
        <v>...</v>
      </c>
      <c r="T48" s="366" t="s">
        <v>533</v>
      </c>
      <c r="U48" s="356"/>
      <c r="V48" s="2299"/>
      <c r="W48" s="2299"/>
      <c r="X48" s="2299"/>
      <c r="Y48" s="2299"/>
      <c r="Z48" s="2299"/>
      <c r="AA48" s="2300"/>
      <c r="AB48" s="2298" t="str">
        <f>INDEX(PT_DIFFERENTIATION_IST_TE,MATCH(D48,PT_DIFFERENTIATION_IST_TE_ID,0))</f>
        <v/>
      </c>
      <c r="AC48" s="2299"/>
      <c r="AD48" s="2299"/>
      <c r="AE48" s="2299"/>
      <c r="AF48" s="2299"/>
      <c r="AG48" s="2299"/>
      <c r="AH48" s="2299"/>
      <c r="AI48" s="2299"/>
      <c r="AJ48" s="2299"/>
      <c r="AK48" s="2299"/>
      <c r="AL48" s="2299"/>
      <c r="AM48" s="2299"/>
      <c r="AN48" s="2299"/>
      <c r="AO48" s="2299"/>
      <c r="AP48" s="2299"/>
      <c r="AQ48" s="2299"/>
      <c r="AR48" s="2299"/>
      <c r="AS48" s="2299"/>
      <c r="AT48" s="2300"/>
      <c r="AU48" s="1314" t="s">
        <v>534</v>
      </c>
      <c r="AW48" s="556"/>
      <c r="AX48" s="556" t="str">
        <f>IF(T48="","",T48)</f>
        <v>Источник тепловой энергии  </v>
      </c>
      <c r="AY48" s="556"/>
      <c r="AZ48" s="556"/>
      <c r="BA48" s="1211">
        <v>20</v>
      </c>
    </row>
    <row s="2851" customFormat="1" customHeight="1" ht="1.05">
      <c r="A49" s="1399" t="s">
        <v>271</v>
      </c>
      <c r="B49" s="1399" t="s">
        <v>272</v>
      </c>
      <c r="C49" s="1399" t="s">
        <v>273</v>
      </c>
      <c r="D49" s="1399" t="s">
        <v>274</v>
      </c>
      <c r="E49" s="2315"/>
      <c r="F49" s="2315"/>
      <c r="G49" s="2315"/>
      <c r="H49" s="2315"/>
      <c r="I49" s="2312" t="str">
        <f>S48&amp;".1"</f>
        <v>....1</v>
      </c>
      <c r="J49" s="1399"/>
      <c r="K49" s="1399"/>
      <c r="L49" s="1402" t="s">
        <v>535</v>
      </c>
      <c r="M49" s="566"/>
      <c r="N49" s="566"/>
      <c r="O49" s="566"/>
      <c r="P49" s="2313">
        <v>1</v>
      </c>
      <c r="Q49" s="1387"/>
      <c r="R49" s="412"/>
      <c r="S49" s="1098"/>
      <c r="T49" s="1439"/>
      <c r="U49" s="1440"/>
      <c r="V49" s="2353"/>
      <c r="W49" s="2353"/>
      <c r="X49" s="2353"/>
      <c r="Y49" s="2353"/>
      <c r="Z49" s="2353"/>
      <c r="AA49" s="2354"/>
      <c r="AB49" s="2352"/>
      <c r="AC49" s="2353"/>
      <c r="AD49" s="2353"/>
      <c r="AE49" s="2353"/>
      <c r="AF49" s="2353"/>
      <c r="AG49" s="2353"/>
      <c r="AH49" s="2353"/>
      <c r="AI49" s="2353"/>
      <c r="AJ49" s="2353"/>
      <c r="AK49" s="2353"/>
      <c r="AL49" s="2353"/>
      <c r="AM49" s="2353"/>
      <c r="AN49" s="2353"/>
      <c r="AO49" s="2353"/>
      <c r="AP49" s="2353"/>
      <c r="AQ49" s="2353"/>
      <c r="AR49" s="2353"/>
      <c r="AS49" s="2353"/>
      <c r="AT49" s="2354"/>
      <c r="AU49" s="1441"/>
      <c r="AW49" s="556"/>
      <c r="AX49" s="556" t="str">
        <f>IF(T49="","",T49)</f>
        <v/>
      </c>
      <c r="AY49" s="556"/>
      <c r="AZ49" s="556"/>
      <c r="BA49" s="567">
        <v>1</v>
      </c>
    </row>
    <row s="2851" customFormat="1" customHeight="1" ht="1.05">
      <c r="A50" s="1399" t="s">
        <v>271</v>
      </c>
      <c r="B50" s="1399" t="s">
        <v>272</v>
      </c>
      <c r="C50" s="1399" t="s">
        <v>273</v>
      </c>
      <c r="D50" s="1399" t="s">
        <v>274</v>
      </c>
      <c r="E50" s="2315"/>
      <c r="F50" s="2315"/>
      <c r="G50" s="2315"/>
      <c r="H50" s="2315"/>
      <c r="I50" s="2342"/>
      <c r="J50" s="2312" t="str">
        <f>S48&amp;".1"</f>
        <v>....1</v>
      </c>
      <c r="K50" s="1399"/>
      <c r="L50" s="1402"/>
      <c r="M50" s="566"/>
      <c r="N50" s="566"/>
      <c r="O50" s="566"/>
      <c r="P50" s="2313"/>
      <c r="Q50" s="2313">
        <v>1</v>
      </c>
      <c r="R50" s="413"/>
      <c r="S50" s="1098"/>
      <c r="T50" s="1455"/>
      <c r="U50" s="1440"/>
      <c r="V50" s="2353"/>
      <c r="W50" s="2353"/>
      <c r="X50" s="2353"/>
      <c r="Y50" s="2353"/>
      <c r="Z50" s="2353"/>
      <c r="AA50" s="2354"/>
      <c r="AB50" s="2352"/>
      <c r="AC50" s="2353"/>
      <c r="AD50" s="2353"/>
      <c r="AE50" s="2353"/>
      <c r="AF50" s="2353"/>
      <c r="AG50" s="2353"/>
      <c r="AH50" s="2353"/>
      <c r="AI50" s="2353"/>
      <c r="AJ50" s="2353"/>
      <c r="AK50" s="2353"/>
      <c r="AL50" s="2353"/>
      <c r="AM50" s="2353"/>
      <c r="AN50" s="2353"/>
      <c r="AO50" s="2353"/>
      <c r="AP50" s="2353"/>
      <c r="AQ50" s="2353"/>
      <c r="AR50" s="2353"/>
      <c r="AS50" s="2353"/>
      <c r="AT50" s="2354"/>
      <c r="AU50" s="1441"/>
      <c r="AW50" s="556"/>
      <c r="AX50" s="556" t="str">
        <f>IF(T50="","",T50)</f>
        <v/>
      </c>
      <c r="AY50" s="556"/>
      <c r="AZ50" s="556"/>
      <c r="BA50" s="567">
        <v>1</v>
      </c>
    </row>
    <row customHeight="1" ht="22.049999999999997">
      <c r="A51" s="1419" t="s">
        <v>271</v>
      </c>
      <c r="B51" s="1419" t="s">
        <v>272</v>
      </c>
      <c r="C51" s="1419" t="s">
        <v>273</v>
      </c>
      <c r="D51" s="1419" t="s">
        <v>274</v>
      </c>
      <c r="E51" s="2315"/>
      <c r="F51" s="2315"/>
      <c r="G51" s="2315"/>
      <c r="H51" s="2315"/>
      <c r="I51" s="2342"/>
      <c r="J51" s="2342"/>
      <c r="K51" s="2312" t="str">
        <f>S48&amp;".1"</f>
        <v>....1</v>
      </c>
      <c r="L51" s="1420"/>
      <c r="P51" s="2313"/>
      <c r="Q51" s="2313"/>
      <c r="R51" s="413">
        <v>1</v>
      </c>
      <c r="S51" s="2397" t="str">
        <f>$K51</f>
        <v>....1</v>
      </c>
      <c r="T51" s="2400"/>
      <c r="U51" s="356"/>
      <c r="V51" s="807"/>
      <c r="W51" s="1313"/>
      <c r="X51" s="1790"/>
      <c r="Y51" s="1515" t="s">
        <v>65</v>
      </c>
      <c r="Z51" s="1790"/>
      <c r="AA51" s="1515" t="s">
        <v>65</v>
      </c>
      <c r="AB51" s="2163" t="s">
        <v>19</v>
      </c>
      <c r="AC51" s="2382"/>
      <c r="AD51" s="2261">
        <v>1</v>
      </c>
      <c r="AE51" s="2404" t="s">
        <v>28</v>
      </c>
      <c r="AF51" s="2163" t="s">
        <v>19</v>
      </c>
      <c r="AG51" s="2382"/>
      <c r="AH51" s="2261">
        <v>1</v>
      </c>
      <c r="AI51" s="2404" t="s">
        <v>28</v>
      </c>
      <c r="AJ51" s="2163" t="s">
        <v>19</v>
      </c>
      <c r="AK51" s="367"/>
      <c r="AL51" s="1393">
        <v>1</v>
      </c>
      <c r="AM51" s="1458"/>
      <c r="AN51" s="807"/>
      <c r="AO51" s="1313"/>
      <c r="AP51" s="1790"/>
      <c r="AQ51" s="1515" t="s">
        <v>65</v>
      </c>
      <c r="AR51" s="1790"/>
      <c r="AS51" s="1515" t="s">
        <v>65</v>
      </c>
      <c r="AT51" s="1404"/>
      <c r="AU51" s="2309" t="s">
        <v>609</v>
      </c>
      <c r="AV51" s="567">
        <f>STRCHECKDATE(V54:AT54)</f>
      </c>
      <c r="AW51" s="556"/>
      <c r="AX51" s="556" t="str">
        <f>IF(T51="","",T51)</f>
        <v/>
      </c>
      <c r="AY51" s="556"/>
      <c r="AZ51" s="556"/>
      <c r="BA51" s="1211">
        <v>21</v>
      </c>
    </row>
    <row customHeight="1" ht="11.549999999999999">
      <c r="A52" s="1419" t="s">
        <v>271</v>
      </c>
      <c r="B52" s="1419"/>
      <c r="C52" s="1419"/>
      <c r="D52" s="1419"/>
      <c r="E52" s="2315"/>
      <c r="F52" s="2315"/>
      <c r="G52" s="2315"/>
      <c r="H52" s="2315"/>
      <c r="I52" s="2342"/>
      <c r="J52" s="2342"/>
      <c r="K52" s="2312"/>
      <c r="L52" s="1420"/>
      <c r="P52" s="2313"/>
      <c r="Q52" s="2313"/>
      <c r="R52" s="413"/>
      <c r="S52" s="2398"/>
      <c r="T52" s="2401"/>
      <c r="U52" s="356"/>
      <c r="V52" s="1449"/>
      <c r="W52" s="1552"/>
      <c r="X52" s="1449"/>
      <c r="Y52" s="1449"/>
      <c r="Z52" s="1449"/>
      <c r="AA52" s="1449"/>
      <c r="AB52" s="2163"/>
      <c r="AC52" s="2382"/>
      <c r="AD52" s="2261"/>
      <c r="AE52" s="2404"/>
      <c r="AF52" s="2163"/>
      <c r="AG52" s="2382"/>
      <c r="AH52" s="2261"/>
      <c r="AI52" s="2404"/>
      <c r="AJ52" s="2163"/>
      <c r="AK52" s="372"/>
      <c r="AL52" s="472"/>
      <c r="AM52" s="471" t="s">
        <v>594</v>
      </c>
      <c r="AN52" s="1449"/>
      <c r="AO52" s="1552"/>
      <c r="AP52" s="1449"/>
      <c r="AQ52" s="1449"/>
      <c r="AR52" s="1449"/>
      <c r="AS52" s="1449"/>
      <c r="AT52" s="1446"/>
      <c r="AU52" s="2310"/>
      <c r="AW52" s="556"/>
      <c r="AX52" s="556"/>
      <c r="AY52" s="556"/>
      <c r="AZ52" s="556"/>
      <c r="BA52" s="1211">
        <v>11</v>
      </c>
    </row>
    <row customHeight="1" ht="11.549999999999999">
      <c r="A53" s="1419" t="s">
        <v>271</v>
      </c>
      <c r="B53" s="1419"/>
      <c r="C53" s="1419"/>
      <c r="D53" s="1419"/>
      <c r="E53" s="2315"/>
      <c r="F53" s="2315"/>
      <c r="G53" s="2315"/>
      <c r="H53" s="2315"/>
      <c r="I53" s="2342"/>
      <c r="J53" s="2342"/>
      <c r="K53" s="2312"/>
      <c r="L53" s="1420"/>
      <c r="P53" s="2313"/>
      <c r="Q53" s="2313"/>
      <c r="R53" s="413"/>
      <c r="S53" s="2398"/>
      <c r="T53" s="2401"/>
      <c r="U53" s="356"/>
      <c r="V53" s="1449"/>
      <c r="W53" s="1552"/>
      <c r="X53" s="1449"/>
      <c r="Y53" s="1449"/>
      <c r="Z53" s="1449"/>
      <c r="AA53" s="1449"/>
      <c r="AB53" s="2163"/>
      <c r="AC53" s="2382"/>
      <c r="AD53" s="2261"/>
      <c r="AE53" s="2404"/>
      <c r="AF53" s="2163"/>
      <c r="AG53" s="350"/>
      <c r="AH53" s="471"/>
      <c r="AI53" s="471" t="s">
        <v>595</v>
      </c>
      <c r="AJ53" s="1449"/>
      <c r="AK53" s="1449"/>
      <c r="AL53" s="1449"/>
      <c r="AM53" s="1449"/>
      <c r="AN53" s="1449"/>
      <c r="AO53" s="1552"/>
      <c r="AP53" s="1449"/>
      <c r="AQ53" s="1449"/>
      <c r="AR53" s="1449"/>
      <c r="AS53" s="1449"/>
      <c r="AT53" s="1446"/>
      <c r="AU53" s="2310"/>
      <c r="AW53" s="556"/>
      <c r="AX53" s="556"/>
      <c r="AY53" s="556"/>
      <c r="AZ53" s="556"/>
      <c r="BA53" s="1211">
        <v>11</v>
      </c>
    </row>
    <row customHeight="1" ht="11.549999999999999">
      <c r="A54" s="1419" t="s">
        <v>271</v>
      </c>
      <c r="B54" s="1419" t="s">
        <v>272</v>
      </c>
      <c r="C54" s="1419" t="s">
        <v>273</v>
      </c>
      <c r="D54" s="1419" t="s">
        <v>274</v>
      </c>
      <c r="E54" s="2315"/>
      <c r="F54" s="2315"/>
      <c r="G54" s="2315"/>
      <c r="H54" s="2315"/>
      <c r="I54" s="2342"/>
      <c r="J54" s="2342"/>
      <c r="K54" s="2312"/>
      <c r="L54" s="1420"/>
      <c r="P54" s="2313"/>
      <c r="Q54" s="2313"/>
      <c r="R54" s="413"/>
      <c r="S54" s="2399"/>
      <c r="T54" s="2402"/>
      <c r="U54" s="356"/>
      <c r="V54" s="1449"/>
      <c r="W54" s="1450" t="str">
        <f>X51&amp;"-"&amp;Z51</f>
        <v>-</v>
      </c>
      <c r="X54" s="1449"/>
      <c r="Y54" s="1449"/>
      <c r="Z54" s="1449"/>
      <c r="AA54" s="1449"/>
      <c r="AB54" s="2163"/>
      <c r="AC54" s="368"/>
      <c r="AD54" s="370"/>
      <c r="AE54" s="471" t="s">
        <v>596</v>
      </c>
      <c r="AF54" s="1449"/>
      <c r="AG54" s="1449"/>
      <c r="AH54" s="1449"/>
      <c r="AI54" s="1449"/>
      <c r="AJ54" s="1449"/>
      <c r="AK54" s="1449"/>
      <c r="AL54" s="1449"/>
      <c r="AM54" s="1449"/>
      <c r="AN54" s="1449"/>
      <c r="AO54" s="1450" t="str">
        <f>AP51&amp;"-"&amp;AR51</f>
        <v>-</v>
      </c>
      <c r="AP54" s="1449"/>
      <c r="AQ54" s="1449"/>
      <c r="AR54" s="1449"/>
      <c r="AS54" s="1449"/>
      <c r="AT54" s="1405"/>
      <c r="AU54" s="2310"/>
      <c r="AW54" s="556"/>
      <c r="AX54" s="556" t="str">
        <f>IF(T54="","",T54)</f>
        <v/>
      </c>
      <c r="AY54" s="556"/>
      <c r="AZ54" s="556"/>
      <c r="BA54" s="1211">
        <v>11</v>
      </c>
    </row>
    <row customHeight="1" ht="11.549999999999999">
      <c r="A55" s="1419" t="s">
        <v>271</v>
      </c>
      <c r="B55" s="1419" t="s">
        <v>272</v>
      </c>
      <c r="C55" s="1419" t="s">
        <v>273</v>
      </c>
      <c r="D55" s="1419" t="s">
        <v>274</v>
      </c>
      <c r="E55" s="2315"/>
      <c r="F55" s="2315"/>
      <c r="G55" s="2315"/>
      <c r="H55" s="2315"/>
      <c r="I55" s="2342"/>
      <c r="J55" s="2312"/>
      <c r="K55" s="1419"/>
      <c r="L55" s="1420"/>
      <c r="P55" s="2313"/>
      <c r="Q55" s="2313"/>
      <c r="R55" s="412"/>
      <c r="S55" s="1334"/>
      <c r="T55" s="343" t="s">
        <v>597</v>
      </c>
      <c r="U55" s="423"/>
      <c r="V55" s="423"/>
      <c r="W55" s="423"/>
      <c r="X55" s="423"/>
      <c r="Y55" s="423"/>
      <c r="Z55" s="423"/>
      <c r="AA55" s="380"/>
      <c r="AB55" s="1561"/>
      <c r="AC55" s="423"/>
      <c r="AD55" s="423"/>
      <c r="AE55" s="423"/>
      <c r="AF55" s="423"/>
      <c r="AG55" s="423"/>
      <c r="AH55" s="423"/>
      <c r="AI55" s="423"/>
      <c r="AJ55" s="423"/>
      <c r="AK55" s="423"/>
      <c r="AL55" s="423"/>
      <c r="AM55" s="423"/>
      <c r="AN55" s="423"/>
      <c r="AO55" s="423"/>
      <c r="AP55" s="423"/>
      <c r="AQ55" s="423"/>
      <c r="AR55" s="423"/>
      <c r="AS55" s="423"/>
      <c r="AT55" s="380"/>
      <c r="AU55" s="2311"/>
      <c r="AW55" s="556"/>
      <c r="AX55" s="556" t="str">
        <f>IF(T55="","",T55)</f>
        <v>Добавить строку</v>
      </c>
      <c r="AY55" s="556"/>
      <c r="AZ55" s="556"/>
      <c r="BA55" s="1211">
        <v>11</v>
      </c>
    </row>
    <row s="2851" customFormat="1" customHeight="1" ht="1.05">
      <c r="A56" s="1399" t="s">
        <v>271</v>
      </c>
      <c r="B56" s="1399" t="s">
        <v>272</v>
      </c>
      <c r="C56" s="1399" t="s">
        <v>273</v>
      </c>
      <c r="D56" s="1399" t="s">
        <v>274</v>
      </c>
      <c r="E56" s="2315"/>
      <c r="F56" s="2315"/>
      <c r="G56" s="2315"/>
      <c r="H56" s="2315"/>
      <c r="I56" s="2312"/>
      <c r="J56" s="1399"/>
      <c r="K56" s="1399"/>
      <c r="L56" s="1402"/>
      <c r="M56" s="566"/>
      <c r="N56" s="566"/>
      <c r="O56" s="566"/>
      <c r="P56" s="2313"/>
      <c r="Q56" s="1387"/>
      <c r="R56" s="412"/>
      <c r="S56" s="1442"/>
      <c r="T56" s="1443" t="s">
        <v>544</v>
      </c>
      <c r="U56" s="1444"/>
      <c r="V56" s="1444"/>
      <c r="W56" s="1444"/>
      <c r="X56" s="1444"/>
      <c r="Y56" s="1444"/>
      <c r="Z56" s="1444"/>
      <c r="AA56" s="1444"/>
      <c r="AB56" s="1444"/>
      <c r="AC56" s="1444"/>
      <c r="AD56" s="1444"/>
      <c r="AE56" s="1444"/>
      <c r="AF56" s="1444"/>
      <c r="AG56" s="1444"/>
      <c r="AH56" s="1444"/>
      <c r="AI56" s="1444"/>
      <c r="AJ56" s="1444"/>
      <c r="AK56" s="1444"/>
      <c r="AL56" s="1444"/>
      <c r="AM56" s="1444"/>
      <c r="AN56" s="1444"/>
      <c r="AO56" s="1444"/>
      <c r="AP56" s="1444"/>
      <c r="AQ56" s="1444"/>
      <c r="AR56" s="1444"/>
      <c r="AS56" s="1444"/>
      <c r="AT56" s="1444"/>
      <c r="AU56" s="1445"/>
      <c r="AW56" s="556"/>
      <c r="AX56" s="556" t="str">
        <f>IF(T56="","",T56)</f>
        <v>Добавить группу потребителей</v>
      </c>
      <c r="AY56" s="556"/>
      <c r="AZ56" s="556"/>
      <c r="BA56" s="567">
        <v>1</v>
      </c>
    </row>
    <row s="3442" customFormat="1" customHeight="1" ht="1.05">
      <c r="A57" s="1399" t="s">
        <v>271</v>
      </c>
      <c r="B57" s="1399" t="s">
        <v>272</v>
      </c>
      <c r="C57" s="1399" t="s">
        <v>273</v>
      </c>
      <c r="D57" s="1399" t="s">
        <v>274</v>
      </c>
      <c r="E57" s="2315"/>
      <c r="F57" s="2315"/>
      <c r="G57" s="2315"/>
      <c r="H57" s="2314"/>
      <c r="I57" s="1399"/>
      <c r="J57" s="1399"/>
      <c r="K57" s="1399"/>
      <c r="L57" s="1402"/>
      <c r="M57" s="1371"/>
      <c r="N57" s="1371"/>
      <c r="O57" s="574"/>
      <c r="P57" s="436"/>
      <c r="Q57" s="1400"/>
      <c r="R57" s="1456"/>
      <c r="S57" s="1442"/>
      <c r="T57" s="1443"/>
      <c r="U57" s="1444"/>
      <c r="V57" s="1444"/>
      <c r="W57" s="1444"/>
      <c r="X57" s="1444"/>
      <c r="Y57" s="1444"/>
      <c r="Z57" s="1444"/>
      <c r="AA57" s="1444"/>
      <c r="AB57" s="1444"/>
      <c r="AC57" s="1444"/>
      <c r="AD57" s="1444"/>
      <c r="AE57" s="1444"/>
      <c r="AF57" s="1444"/>
      <c r="AG57" s="1444"/>
      <c r="AH57" s="1444"/>
      <c r="AI57" s="1444"/>
      <c r="AJ57" s="1444"/>
      <c r="AK57" s="1444"/>
      <c r="AL57" s="1444"/>
      <c r="AM57" s="1444"/>
      <c r="AN57" s="1444"/>
      <c r="AO57" s="1444"/>
      <c r="AP57" s="1444"/>
      <c r="AQ57" s="1444"/>
      <c r="AR57" s="1444"/>
      <c r="AS57" s="1444"/>
      <c r="AT57" s="1444"/>
      <c r="AU57" s="1445"/>
      <c r="AV57" s="567"/>
      <c r="AW57" s="556"/>
      <c r="AX57" s="556" t="str">
        <f>IF(T57="","",T57)</f>
        <v/>
      </c>
      <c r="AY57" s="556"/>
      <c r="AZ57" s="556"/>
      <c r="BA57" s="552">
        <v>1</v>
      </c>
    </row>
    <row s="2851" customFormat="1" customHeight="1" ht="1.05">
      <c r="A58" s="1399" t="s">
        <v>271</v>
      </c>
      <c r="B58" s="1399" t="s">
        <v>272</v>
      </c>
      <c r="C58" s="1399" t="s">
        <v>273</v>
      </c>
      <c r="D58" s="1370"/>
      <c r="E58" s="2315"/>
      <c r="F58" s="2315"/>
      <c r="G58" s="2314"/>
      <c r="H58" s="1370"/>
      <c r="I58" s="1370"/>
      <c r="J58" s="1370"/>
      <c r="K58" s="1370"/>
      <c r="L58" s="1395"/>
      <c r="M58" s="1371"/>
      <c r="N58" s="1371"/>
      <c r="P58" s="1372"/>
      <c r="Q58" s="1373"/>
      <c r="R58" s="1372"/>
      <c r="S58" s="1378"/>
      <c r="T58" s="1381" t="s">
        <v>546</v>
      </c>
      <c r="U58" s="1380"/>
      <c r="V58" s="1380"/>
      <c r="W58" s="1380"/>
      <c r="X58" s="1380"/>
      <c r="Y58" s="1380"/>
      <c r="Z58" s="1380"/>
      <c r="AA58" s="1380"/>
      <c r="AB58" s="1380"/>
      <c r="AC58" s="1380"/>
      <c r="AD58" s="1380"/>
      <c r="AE58" s="1380"/>
      <c r="AF58" s="1380"/>
      <c r="AG58" s="1380"/>
      <c r="AH58" s="1380"/>
      <c r="AI58" s="1380"/>
      <c r="AJ58" s="1380"/>
      <c r="AK58" s="1380"/>
      <c r="AL58" s="1380"/>
      <c r="AM58" s="1380"/>
      <c r="AN58" s="1380"/>
      <c r="AO58" s="1380"/>
      <c r="AP58" s="1380"/>
      <c r="AQ58" s="1380"/>
      <c r="AR58" s="1380"/>
      <c r="AS58" s="1380"/>
      <c r="AT58" s="1380"/>
      <c r="AU58" s="1380"/>
      <c r="AW58" s="845"/>
      <c r="AX58" s="845" t="str">
        <f>IF(T58="","",T58)</f>
        <v>Добавить источник для дифференциации</v>
      </c>
      <c r="AY58" s="845"/>
      <c r="AZ58" s="845"/>
      <c r="BA58" s="574">
        <v>1</v>
      </c>
    </row>
    <row s="2851" customFormat="1" customHeight="1" ht="1.05">
      <c r="A59" s="1399" t="s">
        <v>271</v>
      </c>
      <c r="B59" s="1399" t="s">
        <v>272</v>
      </c>
      <c r="C59" s="1370"/>
      <c r="D59" s="1370"/>
      <c r="E59" s="2315"/>
      <c r="F59" s="2314"/>
      <c r="G59" s="1370"/>
      <c r="H59" s="1370"/>
      <c r="I59" s="1370"/>
      <c r="J59" s="1370"/>
      <c r="K59" s="1370"/>
      <c r="L59" s="1395"/>
      <c r="M59" s="1377"/>
      <c r="N59" s="1377"/>
      <c r="P59" s="1372"/>
      <c r="Q59" s="1373"/>
      <c r="R59" s="1372"/>
      <c r="S59" s="1378"/>
      <c r="T59" s="1381" t="s">
        <v>302</v>
      </c>
      <c r="U59" s="1380"/>
      <c r="V59" s="1380"/>
      <c r="W59" s="1380"/>
      <c r="X59" s="1380"/>
      <c r="Y59" s="1380"/>
      <c r="Z59" s="1380"/>
      <c r="AA59" s="1380"/>
      <c r="AB59" s="1380"/>
      <c r="AC59" s="1380"/>
      <c r="AD59" s="1380"/>
      <c r="AE59" s="1380"/>
      <c r="AF59" s="1380"/>
      <c r="AG59" s="1380"/>
      <c r="AH59" s="1380"/>
      <c r="AI59" s="1380"/>
      <c r="AJ59" s="1380"/>
      <c r="AK59" s="1380"/>
      <c r="AL59" s="1380"/>
      <c r="AM59" s="1380"/>
      <c r="AN59" s="1380"/>
      <c r="AO59" s="1380"/>
      <c r="AP59" s="1380"/>
      <c r="AQ59" s="1380"/>
      <c r="AR59" s="1380"/>
      <c r="AS59" s="1380"/>
      <c r="AT59" s="1380"/>
      <c r="AU59" s="1380"/>
      <c r="AW59" s="845"/>
      <c r="AX59" s="845" t="str">
        <f>IF(T59="","",T59)</f>
        <v>Добавить централизованную систему для дифференциации</v>
      </c>
      <c r="AY59" s="845"/>
      <c r="AZ59" s="845"/>
      <c r="BA59" s="574">
        <v>1</v>
      </c>
    </row>
    <row s="2851" customFormat="1" customHeight="1" ht="1.05">
      <c r="A60" s="1399" t="s">
        <v>271</v>
      </c>
      <c r="B60" s="1399"/>
      <c r="C60" s="1399"/>
      <c r="D60" s="1399"/>
      <c r="E60" s="2315"/>
      <c r="F60" s="1399"/>
      <c r="G60" s="1399"/>
      <c r="H60" s="1399"/>
      <c r="I60" s="1399"/>
      <c r="J60" s="1399"/>
      <c r="K60" s="1399"/>
      <c r="L60" s="1402"/>
      <c r="M60" s="1377"/>
      <c r="N60" s="1377"/>
      <c r="O60" s="574"/>
      <c r="P60" s="436"/>
      <c r="Q60" s="1400"/>
      <c r="R60" s="436"/>
      <c r="S60" s="1378"/>
      <c r="T60" s="1381" t="s">
        <v>359</v>
      </c>
      <c r="U60" s="1380"/>
      <c r="V60" s="1380"/>
      <c r="W60" s="1380"/>
      <c r="X60" s="1380"/>
      <c r="Y60" s="1380"/>
      <c r="Z60" s="1380"/>
      <c r="AA60" s="1380"/>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W60" s="556"/>
      <c r="AX60" s="556" t="str">
        <f>IF(T60="","",T60)</f>
        <v>Добавить территорию для дифференциации</v>
      </c>
      <c r="AY60" s="556"/>
      <c r="AZ60" s="556"/>
      <c r="BA60" s="567">
        <v>1</v>
      </c>
    </row>
    <row s="2851" customFormat="1" customHeight="1" ht="1.05">
      <c r="A61" s="1399" t="s">
        <v>271</v>
      </c>
      <c r="B61" s="1399"/>
      <c r="C61" s="1399"/>
      <c r="D61" s="1399"/>
      <c r="E61" s="2314"/>
      <c r="F61" s="1399"/>
      <c r="G61" s="1399"/>
      <c r="H61" s="1399"/>
      <c r="I61" s="1399"/>
      <c r="J61" s="1399"/>
      <c r="K61" s="1399"/>
      <c r="L61" s="1402"/>
      <c r="M61" s="1377"/>
      <c r="N61" s="1377"/>
      <c r="O61" s="574"/>
      <c r="P61" s="436"/>
      <c r="Q61" s="1400"/>
      <c r="R61" s="436"/>
      <c r="S61" s="1378"/>
      <c r="T61" s="1381" t="s">
        <v>359</v>
      </c>
      <c r="U61" s="1380"/>
      <c r="V61" s="1380"/>
      <c r="W61" s="1380"/>
      <c r="X61" s="1380"/>
      <c r="Y61" s="1380"/>
      <c r="Z61" s="1380"/>
      <c r="AA61" s="1380"/>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W61" s="556"/>
      <c r="AX61" s="556" t="str">
        <f>IF(T61="","",T61)</f>
        <v>Добавить территорию для дифференциации</v>
      </c>
      <c r="AY61" s="556"/>
      <c r="AZ61" s="556"/>
      <c r="BA61" s="567">
        <v>1</v>
      </c>
    </row>
    <row s="2851" customFormat="1" customHeight="1" ht="1.05">
      <c r="A62" s="1370"/>
      <c r="B62" s="1370"/>
      <c r="C62" s="1370"/>
      <c r="D62" s="1370"/>
      <c r="E62" s="1399"/>
      <c r="F62" s="1370"/>
      <c r="G62" s="1370"/>
      <c r="H62" s="1370"/>
      <c r="I62" s="1370"/>
      <c r="J62" s="1370"/>
      <c r="K62" s="1370"/>
      <c r="L62" s="1395"/>
      <c r="M62" s="1377"/>
      <c r="N62" s="1377"/>
      <c r="P62" s="1372"/>
      <c r="Q62" s="1373"/>
      <c r="R62" s="1372"/>
      <c r="S62" s="1378"/>
      <c r="T62" s="1381" t="s">
        <v>360</v>
      </c>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W62" s="845"/>
      <c r="AX62" s="845" t="str">
        <f>IF(T62="","",T62)</f>
        <v>Добавить наименование тарифа</v>
      </c>
      <c r="AY62" s="845"/>
      <c r="AZ62" s="845"/>
      <c r="BA62" s="574">
        <v>1</v>
      </c>
    </row>
    <row customHeight="1" ht="11.549999999999999">
      <c r="M63" s="1216"/>
      <c r="N63" s="1216"/>
      <c r="O63" s="593"/>
      <c r="P63" s="1216"/>
      <c r="Q63" s="1216"/>
      <c r="R63" s="1211"/>
      <c r="S63" s="1211"/>
      <c r="AV63" s="1211"/>
      <c r="AW63" s="1211"/>
      <c r="AX63" s="1211"/>
      <c r="AY63" s="1211"/>
      <c r="AZ63" s="1211"/>
      <c r="BA63" s="1211">
        <v>11</v>
      </c>
    </row>
    <row customHeight="1" ht="19.95">
      <c r="O64" s="593"/>
      <c r="S64" s="1309"/>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c r="AS64" s="2341"/>
      <c r="AT64" s="2341"/>
      <c r="AU64" s="2341"/>
      <c r="BA64" s="1211">
        <v>19</v>
      </c>
    </row>
    <row customHeight="1" ht="21">
      <c r="O65" s="593"/>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BA65" s="1211">
        <v>20</v>
      </c>
    </row>
    <row customHeight="1" ht="14.699999999999998">
      <c r="O66" s="593"/>
      <c r="T66" s="1389"/>
      <c r="U66" s="1389"/>
      <c r="V66" s="1389"/>
      <c r="W66" s="1389"/>
      <c r="X66" s="1389"/>
      <c r="Y66" s="1389"/>
      <c r="Z66" s="1389"/>
      <c r="AA66" s="1389"/>
      <c r="AB66" s="1389"/>
      <c r="AC66" s="1389"/>
      <c r="AD66" s="1389"/>
      <c r="AE66" s="1389"/>
      <c r="AF66" s="1389"/>
      <c r="AG66" s="1389"/>
      <c r="AH66" s="1389"/>
      <c r="AI66" s="1389"/>
      <c r="AJ66" s="1389"/>
      <c r="AK66" s="1389"/>
      <c r="AL66" s="1389"/>
      <c r="AM66" s="1389"/>
      <c r="AN66" s="1389"/>
      <c r="AO66" s="1389"/>
      <c r="AP66" s="1389"/>
      <c r="AQ66" s="1389"/>
      <c r="AR66" s="1389"/>
      <c r="AS66" s="1389"/>
      <c r="AT66" s="1389"/>
      <c r="AU66" s="1389"/>
      <c r="BA66" s="1211">
        <v>14</v>
      </c>
    </row>
    <row customHeight="1" ht="19.95">
      <c r="O67" s="593"/>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BA67" s="1211">
        <v>19</v>
      </c>
    </row>
    <row customHeight="1" ht="16.8">
      <c r="O68" s="593"/>
      <c r="T68" s="2341"/>
      <c r="U68" s="2341"/>
      <c r="V68" s="2341"/>
      <c r="W68" s="2341"/>
      <c r="X68" s="2341"/>
      <c r="Y68" s="2341"/>
      <c r="Z68" s="2341"/>
      <c r="AA68" s="2341"/>
      <c r="AB68" s="2341"/>
      <c r="AC68" s="2341"/>
      <c r="AD68" s="2341"/>
      <c r="AE68" s="2341"/>
      <c r="AF68" s="2341"/>
      <c r="AG68" s="2341"/>
      <c r="AH68" s="2341"/>
      <c r="AI68" s="2341"/>
      <c r="AJ68" s="2341"/>
      <c r="AK68" s="2341"/>
      <c r="AL68" s="2341"/>
      <c r="AM68" s="2341"/>
      <c r="AN68" s="2341"/>
      <c r="AO68" s="2341"/>
      <c r="AP68" s="2341"/>
      <c r="AQ68" s="2341"/>
      <c r="AR68" s="2341"/>
      <c r="AS68" s="2341"/>
      <c r="AT68" s="2341"/>
      <c r="AU68" s="2341"/>
      <c r="BA68" s="1211">
        <v>16</v>
      </c>
    </row>
    <row customHeight="1" ht="14.699999999999998">
      <c r="O69" s="593"/>
      <c r="BA69" s="1211">
        <v>14</v>
      </c>
    </row>
    <row customHeight="1" ht="22.5" hidden="1">
      <c r="A70" s="1216" t="s">
        <v>86</v>
      </c>
      <c r="B70" s="1216">
        <v>0</v>
      </c>
      <c r="C70" s="1216">
        <v>0</v>
      </c>
      <c r="D70" s="1216">
        <v>0</v>
      </c>
      <c r="E70" s="1216">
        <v>0</v>
      </c>
      <c r="F70" s="1216">
        <v>0</v>
      </c>
      <c r="G70" s="1216">
        <v>0</v>
      </c>
      <c r="H70" s="1216">
        <v>0</v>
      </c>
      <c r="I70" s="1216">
        <v>0</v>
      </c>
      <c r="J70" s="1216">
        <v>0</v>
      </c>
      <c r="K70" s="1216">
        <v>0</v>
      </c>
      <c r="L70" s="1385">
        <v>0</v>
      </c>
      <c r="M70" s="1418">
        <v>0</v>
      </c>
      <c r="N70" s="1418">
        <v>0</v>
      </c>
      <c r="O70" s="1418">
        <v>0</v>
      </c>
      <c r="P70" s="1418">
        <v>3</v>
      </c>
      <c r="Q70" s="1427">
        <v>3</v>
      </c>
      <c r="R70" s="400">
        <v>3</v>
      </c>
      <c r="S70" s="637">
        <v>12</v>
      </c>
      <c r="T70" s="1211">
        <v>31</v>
      </c>
      <c r="U70" s="1211">
        <v>0</v>
      </c>
      <c r="V70" s="1211">
        <v>0</v>
      </c>
      <c r="W70" s="1211">
        <v>0</v>
      </c>
      <c r="X70" s="1211">
        <v>0</v>
      </c>
      <c r="Y70" s="1211">
        <v>0</v>
      </c>
      <c r="Z70" s="1211">
        <v>0</v>
      </c>
      <c r="AA70" s="1211">
        <v>0</v>
      </c>
      <c r="AB70" s="1211">
        <v>5</v>
      </c>
      <c r="AC70" s="1211">
        <v>3</v>
      </c>
      <c r="AD70" s="1211">
        <v>3</v>
      </c>
      <c r="AE70" s="1211">
        <v>24</v>
      </c>
      <c r="AF70" s="1211">
        <v>3</v>
      </c>
      <c r="AG70" s="1211">
        <v>3</v>
      </c>
      <c r="AH70" s="1211">
        <v>3</v>
      </c>
      <c r="AI70" s="1211">
        <v>24</v>
      </c>
      <c r="AJ70" s="1211">
        <v>3</v>
      </c>
      <c r="AK70" s="1211">
        <v>3</v>
      </c>
      <c r="AL70" s="1211">
        <v>3</v>
      </c>
      <c r="AM70" s="1211">
        <v>18</v>
      </c>
      <c r="AN70" s="1211">
        <v>21</v>
      </c>
      <c r="AO70" s="1211">
        <v>21</v>
      </c>
      <c r="AP70" s="1211">
        <v>11</v>
      </c>
      <c r="AQ70" s="1211">
        <v>3</v>
      </c>
      <c r="AR70" s="1211">
        <v>11</v>
      </c>
      <c r="AS70" s="1211">
        <v>8</v>
      </c>
      <c r="AT70" s="1211">
        <v>4</v>
      </c>
      <c r="AU70" s="1211">
        <v>115</v>
      </c>
      <c r="AV70" s="567">
        <v>10</v>
      </c>
      <c r="AW70" s="567">
        <v>10</v>
      </c>
      <c r="AX70" s="567">
        <v>10</v>
      </c>
      <c r="AY70" s="567">
        <v>10</v>
      </c>
      <c r="AZ70" s="567">
        <v>10</v>
      </c>
      <c r="BA70" s="1211">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46572F-9286-7FA8-38D9-088209BD7FF3}" mc:Ignorable="x14ac xr xr2 xr3">
  <sheetPr>
    <tabColor theme="6" tint="0.4"/>
  </sheetPr>
  <dimension ref="A1:DB390"/>
  <sheetViews>
    <sheetView topLeftCell="P23" showGridLines="0" zoomScale="90" workbookViewId="0" tabSelected="1">
      <selection activeCell="AC147" sqref="AC147:CU147"/>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customWidth="1"/>
    <col min="98" max="98" width="10.57421875" hidden="1"/>
    <col min="99" max="99" style="2774" width="4.00390625" customWidth="1"/>
    <col min="100" max="100" style="2774" width="115.00390625" customWidth="1"/>
    <col min="101" max="105" style="2851" width="10.00390625" customWidth="1"/>
    <col min="106" max="106" style="2774" width="10.57421875" hidden="1"/>
  </cols>
  <sheetData>
    <row customHeight="1" ht="22.5" hidden="1">
      <c r="X1" s="383"/>
      <c r="Y1" s="383"/>
      <c r="AE1" s="383"/>
      <c r="AF1" s="383"/>
      <c r="AJ1" s="3858"/>
      <c r="AK1" s="3858"/>
      <c r="AL1" s="3858"/>
      <c r="AM1" s="3858"/>
      <c r="AN1" s="3858"/>
      <c r="AO1" s="3858"/>
      <c r="AP1" s="3858"/>
      <c r="AQ1" s="3858"/>
      <c r="AR1" s="3858"/>
      <c r="AS1" s="3858"/>
      <c r="AT1" s="3858"/>
      <c r="AU1" s="3858"/>
      <c r="AV1" s="3858"/>
      <c r="AW1" s="3858"/>
      <c r="AX1" s="3858"/>
      <c r="AY1" s="3858"/>
      <c r="AZ1" s="3858"/>
      <c r="BA1" s="3858"/>
      <c r="BB1" s="3858"/>
      <c r="BC1" s="3858"/>
      <c r="BD1" s="3858"/>
      <c r="BE1" s="3858"/>
      <c r="BF1" s="3858"/>
      <c r="BG1" s="3858"/>
      <c r="BH1" s="3858"/>
      <c r="BI1" s="3858"/>
      <c r="BJ1" s="3858"/>
      <c r="BK1" s="3858"/>
      <c r="BL1" s="3858"/>
      <c r="BM1" s="3858"/>
      <c r="BN1" s="3858"/>
      <c r="BO1" s="3858"/>
      <c r="BP1" s="3858"/>
      <c r="BQ1" s="3858"/>
      <c r="BR1" s="3858"/>
      <c r="BS1" s="3858"/>
      <c r="BT1" s="3858"/>
      <c r="BU1" s="3858"/>
      <c r="BV1" s="3858"/>
      <c r="BW1" s="3858"/>
      <c r="BX1" s="3858"/>
      <c r="BY1" s="3858"/>
      <c r="BZ1" s="3858"/>
      <c r="CA1" s="3858"/>
      <c r="CB1" s="3858"/>
      <c r="CC1" s="3858"/>
      <c r="CD1" s="3858"/>
      <c r="CE1" s="3858"/>
      <c r="CF1" s="3858"/>
      <c r="CG1" s="3858"/>
      <c r="CH1" s="3858"/>
      <c r="CI1" s="3858"/>
      <c r="CJ1" s="3858"/>
      <c r="CK1" s="3858"/>
      <c r="CL1" s="3858"/>
      <c r="CM1" s="3858"/>
      <c r="CN1" s="3858"/>
      <c r="CO1" s="3858"/>
      <c r="CP1" s="3858"/>
      <c r="CQ1" s="3858"/>
      <c r="CR1" s="3858"/>
      <c r="CS1" s="3858"/>
      <c r="CT1" s="3858"/>
      <c r="DB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481">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3860"/>
      <c r="AK2" s="3861"/>
      <c r="AL2" s="3861"/>
      <c r="AM2" s="3861"/>
      <c r="AN2" s="3861"/>
      <c r="AO2" s="3861"/>
      <c r="AP2" s="3862"/>
      <c r="AQ2" s="3860"/>
      <c r="AR2" s="3861"/>
      <c r="AS2" s="3861"/>
      <c r="AT2" s="3861"/>
      <c r="AU2" s="3861"/>
      <c r="AV2" s="3861"/>
      <c r="AW2" s="3862"/>
      <c r="AX2" s="3860"/>
      <c r="AY2" s="3861"/>
      <c r="AZ2" s="3861"/>
      <c r="BA2" s="3861"/>
      <c r="BB2" s="3861"/>
      <c r="BC2" s="3861"/>
      <c r="BD2" s="3862"/>
      <c r="BE2" s="3860"/>
      <c r="BF2" s="3861"/>
      <c r="BG2" s="3861"/>
      <c r="BH2" s="3861"/>
      <c r="BI2" s="3861"/>
      <c r="BJ2" s="3861"/>
      <c r="BK2" s="3862"/>
      <c r="BL2" s="3860"/>
      <c r="BM2" s="3861"/>
      <c r="BN2" s="3861"/>
      <c r="BO2" s="3861"/>
      <c r="BP2" s="3861"/>
      <c r="BQ2" s="3861"/>
      <c r="BR2" s="3862"/>
      <c r="BS2" s="3860"/>
      <c r="BT2" s="3861"/>
      <c r="BU2" s="3861"/>
      <c r="BV2" s="3861"/>
      <c r="BW2" s="3861"/>
      <c r="BX2" s="3861"/>
      <c r="BY2" s="3862"/>
      <c r="BZ2" s="3860"/>
      <c r="CA2" s="3861"/>
      <c r="CB2" s="3861"/>
      <c r="CC2" s="3861"/>
      <c r="CD2" s="3861"/>
      <c r="CE2" s="3861"/>
      <c r="CF2" s="3862"/>
      <c r="CG2" s="3860"/>
      <c r="CH2" s="3861"/>
      <c r="CI2" s="3861"/>
      <c r="CJ2" s="3861"/>
      <c r="CK2" s="3861"/>
      <c r="CL2" s="3861"/>
      <c r="CM2" s="3862"/>
      <c r="CN2" s="3860"/>
      <c r="CO2" s="3861"/>
      <c r="CP2" s="3861"/>
      <c r="CQ2" s="3861"/>
      <c r="CR2" s="3861"/>
      <c r="CS2" s="3861"/>
      <c r="CT2" s="3862"/>
      <c r="CU2" s="2300"/>
      <c r="CV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2" s="556"/>
      <c r="CY2" s="556" t="str">
        <f>IF(T2="","",T2)</f>
        <v>Наименование тарифа</v>
      </c>
      <c r="CZ2" s="556"/>
      <c r="DA2" s="556"/>
      <c r="DB2" s="1211">
        <v>0</v>
      </c>
    </row>
    <row customHeight="1" ht="23.25" hidden="1">
      <c r="A3" s="1419"/>
      <c r="B3" s="1419"/>
      <c r="C3" s="1419"/>
      <c r="D3" s="1419"/>
      <c r="E3" s="2315"/>
      <c r="F3" s="2314">
        <v>1</v>
      </c>
      <c r="G3" s="1419"/>
      <c r="H3" s="1419"/>
      <c r="I3" s="1419"/>
      <c r="J3" s="1419"/>
      <c r="K3" s="1419"/>
      <c r="L3" s="1420"/>
      <c r="M3" s="1421"/>
      <c r="N3" s="1421"/>
      <c r="O3" s="1421"/>
      <c r="P3" s="1479"/>
      <c r="Q3" s="408"/>
      <c r="R3" s="409"/>
      <c r="S3" s="1481">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3860"/>
      <c r="AK3" s="3861"/>
      <c r="AL3" s="3861"/>
      <c r="AM3" s="3861"/>
      <c r="AN3" s="3861"/>
      <c r="AO3" s="3861"/>
      <c r="AP3" s="3862"/>
      <c r="AQ3" s="3860"/>
      <c r="AR3" s="3861"/>
      <c r="AS3" s="3861"/>
      <c r="AT3" s="3861"/>
      <c r="AU3" s="3861"/>
      <c r="AV3" s="3861"/>
      <c r="AW3" s="3862"/>
      <c r="AX3" s="3860"/>
      <c r="AY3" s="3861"/>
      <c r="AZ3" s="3861"/>
      <c r="BA3" s="3861"/>
      <c r="BB3" s="3861"/>
      <c r="BC3" s="3861"/>
      <c r="BD3" s="3862"/>
      <c r="BE3" s="3860"/>
      <c r="BF3" s="3861"/>
      <c r="BG3" s="3861"/>
      <c r="BH3" s="3861"/>
      <c r="BI3" s="3861"/>
      <c r="BJ3" s="3861"/>
      <c r="BK3" s="3862"/>
      <c r="BL3" s="3860"/>
      <c r="BM3" s="3861"/>
      <c r="BN3" s="3861"/>
      <c r="BO3" s="3861"/>
      <c r="BP3" s="3861"/>
      <c r="BQ3" s="3861"/>
      <c r="BR3" s="3862"/>
      <c r="BS3" s="3860"/>
      <c r="BT3" s="3861"/>
      <c r="BU3" s="3861"/>
      <c r="BV3" s="3861"/>
      <c r="BW3" s="3861"/>
      <c r="BX3" s="3861"/>
      <c r="BY3" s="3862"/>
      <c r="BZ3" s="3860"/>
      <c r="CA3" s="3861"/>
      <c r="CB3" s="3861"/>
      <c r="CC3" s="3861"/>
      <c r="CD3" s="3861"/>
      <c r="CE3" s="3861"/>
      <c r="CF3" s="3862"/>
      <c r="CG3" s="3860"/>
      <c r="CH3" s="3861"/>
      <c r="CI3" s="3861"/>
      <c r="CJ3" s="3861"/>
      <c r="CK3" s="3861"/>
      <c r="CL3" s="3861"/>
      <c r="CM3" s="3862"/>
      <c r="CN3" s="3860"/>
      <c r="CO3" s="3861"/>
      <c r="CP3" s="3861"/>
      <c r="CQ3" s="3861"/>
      <c r="CR3" s="3861"/>
      <c r="CS3" s="3861"/>
      <c r="CT3" s="3862"/>
      <c r="CU3" s="2300"/>
      <c r="CV3" s="1314" t="s">
        <v>530</v>
      </c>
      <c r="CX3" s="556"/>
      <c r="CY3" s="556" t="str">
        <f>IF(T3="","",T3)</f>
        <v>Территория действия тарифа</v>
      </c>
      <c r="CZ3" s="556"/>
      <c r="DA3" s="556"/>
      <c r="DB3" s="1211">
        <v>0</v>
      </c>
    </row>
    <row customHeight="1" ht="23.25" hidden="1">
      <c r="A4" s="1419"/>
      <c r="B4" s="1419"/>
      <c r="C4" s="1419"/>
      <c r="D4" s="1419"/>
      <c r="E4" s="2315"/>
      <c r="F4" s="2315"/>
      <c r="G4" s="2314">
        <v>1</v>
      </c>
      <c r="H4" s="1419"/>
      <c r="I4" s="1419"/>
      <c r="J4" s="1419"/>
      <c r="K4" s="1419"/>
      <c r="L4" s="1420"/>
      <c r="M4" s="1421"/>
      <c r="N4" s="1421"/>
      <c r="O4" s="1421"/>
      <c r="P4" s="410"/>
      <c r="Q4" s="408"/>
      <c r="R4" s="409"/>
      <c r="S4" s="1481">
        <f>INDEX(PT_DIFFERENTIATION_NUM_CS,MATCH(C4,PT_DIFFERENTIATION_CS_ID,0))</f>
      </c>
      <c r="T4" s="365" t="s">
        <v>610</v>
      </c>
      <c r="U4" s="356"/>
      <c r="V4" s="2298"/>
      <c r="W4" s="2299"/>
      <c r="X4" s="2299"/>
      <c r="Y4" s="2299"/>
      <c r="Z4" s="2299"/>
      <c r="AA4" s="2299"/>
      <c r="AB4" s="2300"/>
      <c r="AC4" s="2298">
        <f>INDEX(PT_DIFFERENTIATION_CS,MATCH(C4,PT_DIFFERENTIATION_CS_ID,0))</f>
      </c>
      <c r="AD4" s="2299"/>
      <c r="AE4" s="2299"/>
      <c r="AF4" s="2299"/>
      <c r="AG4" s="2299"/>
      <c r="AH4" s="2299"/>
      <c r="AI4" s="2299"/>
      <c r="AJ4" s="3860"/>
      <c r="AK4" s="3861"/>
      <c r="AL4" s="3861"/>
      <c r="AM4" s="3861"/>
      <c r="AN4" s="3861"/>
      <c r="AO4" s="3861"/>
      <c r="AP4" s="3862"/>
      <c r="AQ4" s="3860"/>
      <c r="AR4" s="3861"/>
      <c r="AS4" s="3861"/>
      <c r="AT4" s="3861"/>
      <c r="AU4" s="3861"/>
      <c r="AV4" s="3861"/>
      <c r="AW4" s="3862"/>
      <c r="AX4" s="3860"/>
      <c r="AY4" s="3861"/>
      <c r="AZ4" s="3861"/>
      <c r="BA4" s="3861"/>
      <c r="BB4" s="3861"/>
      <c r="BC4" s="3861"/>
      <c r="BD4" s="3862"/>
      <c r="BE4" s="3860"/>
      <c r="BF4" s="3861"/>
      <c r="BG4" s="3861"/>
      <c r="BH4" s="3861"/>
      <c r="BI4" s="3861"/>
      <c r="BJ4" s="3861"/>
      <c r="BK4" s="3862"/>
      <c r="BL4" s="3860"/>
      <c r="BM4" s="3861"/>
      <c r="BN4" s="3861"/>
      <c r="BO4" s="3861"/>
      <c r="BP4" s="3861"/>
      <c r="BQ4" s="3861"/>
      <c r="BR4" s="3862"/>
      <c r="BS4" s="3860"/>
      <c r="BT4" s="3861"/>
      <c r="BU4" s="3861"/>
      <c r="BV4" s="3861"/>
      <c r="BW4" s="3861"/>
      <c r="BX4" s="3861"/>
      <c r="BY4" s="3862"/>
      <c r="BZ4" s="3860"/>
      <c r="CA4" s="3861"/>
      <c r="CB4" s="3861"/>
      <c r="CC4" s="3861"/>
      <c r="CD4" s="3861"/>
      <c r="CE4" s="3861"/>
      <c r="CF4" s="3862"/>
      <c r="CG4" s="3860"/>
      <c r="CH4" s="3861"/>
      <c r="CI4" s="3861"/>
      <c r="CJ4" s="3861"/>
      <c r="CK4" s="3861"/>
      <c r="CL4" s="3861"/>
      <c r="CM4" s="3862"/>
      <c r="CN4" s="3860"/>
      <c r="CO4" s="3861"/>
      <c r="CP4" s="3861"/>
      <c r="CQ4" s="3861"/>
      <c r="CR4" s="3861"/>
      <c r="CS4" s="3861"/>
      <c r="CT4" s="3862"/>
      <c r="CU4" s="2300"/>
      <c r="CV4" s="1314" t="s">
        <v>611</v>
      </c>
      <c r="CX4" s="556"/>
      <c r="CY4" s="556" t="str">
        <f>IF(T4="","",T4)</f>
        <v>Наименование централизованной системы холодного водоснабжения</v>
      </c>
      <c r="CZ4" s="556"/>
      <c r="DA4" s="556"/>
      <c r="DB4" s="1211">
        <v>0</v>
      </c>
    </row>
    <row customHeight="1" ht="23.25" hidden="1">
      <c r="A5" s="1419"/>
      <c r="B5" s="1419"/>
      <c r="C5" s="1419"/>
      <c r="D5" s="1419"/>
      <c r="E5" s="2315"/>
      <c r="F5" s="2315"/>
      <c r="G5" s="2315"/>
      <c r="H5" s="2315"/>
      <c r="I5" s="2312">
        <f>S4&amp;".1"</f>
      </c>
      <c r="J5" s="1419"/>
      <c r="K5" s="1419"/>
      <c r="L5" s="1420"/>
      <c r="P5" s="2313">
        <v>1</v>
      </c>
      <c r="Q5" s="1478"/>
      <c r="R5" s="412"/>
      <c r="S5" s="1481">
        <f>$I5</f>
      </c>
      <c r="T5" s="341" t="s">
        <v>612</v>
      </c>
      <c r="U5" s="356"/>
      <c r="V5" s="2406"/>
      <c r="W5" s="2407"/>
      <c r="X5" s="2407"/>
      <c r="Y5" s="2407"/>
      <c r="Z5" s="2407"/>
      <c r="AA5" s="2407"/>
      <c r="AB5" s="2408"/>
      <c r="AC5" s="2409"/>
      <c r="AD5" s="2410"/>
      <c r="AE5" s="2410"/>
      <c r="AF5" s="2410"/>
      <c r="AG5" s="2410"/>
      <c r="AH5" s="2410"/>
      <c r="AI5" s="2410"/>
      <c r="AJ5" s="3870"/>
      <c r="AK5" s="3871"/>
      <c r="AL5" s="3871"/>
      <c r="AM5" s="3871"/>
      <c r="AN5" s="3871"/>
      <c r="AO5" s="3871"/>
      <c r="AP5" s="3872"/>
      <c r="AQ5" s="3870"/>
      <c r="AR5" s="3871"/>
      <c r="AS5" s="3871"/>
      <c r="AT5" s="3871"/>
      <c r="AU5" s="3871"/>
      <c r="AV5" s="3871"/>
      <c r="AW5" s="3872"/>
      <c r="AX5" s="3870"/>
      <c r="AY5" s="3871"/>
      <c r="AZ5" s="3871"/>
      <c r="BA5" s="3871"/>
      <c r="BB5" s="3871"/>
      <c r="BC5" s="3871"/>
      <c r="BD5" s="3872"/>
      <c r="BE5" s="3870"/>
      <c r="BF5" s="3871"/>
      <c r="BG5" s="3871"/>
      <c r="BH5" s="3871"/>
      <c r="BI5" s="3871"/>
      <c r="BJ5" s="3871"/>
      <c r="BK5" s="3872"/>
      <c r="BL5" s="3870"/>
      <c r="BM5" s="3871"/>
      <c r="BN5" s="3871"/>
      <c r="BO5" s="3871"/>
      <c r="BP5" s="3871"/>
      <c r="BQ5" s="3871"/>
      <c r="BR5" s="3872"/>
      <c r="BS5" s="3870"/>
      <c r="BT5" s="3871"/>
      <c r="BU5" s="3871"/>
      <c r="BV5" s="3871"/>
      <c r="BW5" s="3871"/>
      <c r="BX5" s="3871"/>
      <c r="BY5" s="3872"/>
      <c r="BZ5" s="3870"/>
      <c r="CA5" s="3871"/>
      <c r="CB5" s="3871"/>
      <c r="CC5" s="3871"/>
      <c r="CD5" s="3871"/>
      <c r="CE5" s="3871"/>
      <c r="CF5" s="3872"/>
      <c r="CG5" s="3870"/>
      <c r="CH5" s="3871"/>
      <c r="CI5" s="3871"/>
      <c r="CJ5" s="3871"/>
      <c r="CK5" s="3871"/>
      <c r="CL5" s="3871"/>
      <c r="CM5" s="3872"/>
      <c r="CN5" s="3870"/>
      <c r="CO5" s="3871"/>
      <c r="CP5" s="3871"/>
      <c r="CQ5" s="3871"/>
      <c r="CR5" s="3871"/>
      <c r="CS5" s="3871"/>
      <c r="CT5" s="3872"/>
      <c r="CU5" s="2411"/>
      <c r="CV5" s="1314" t="s">
        <v>613</v>
      </c>
      <c r="CX5" s="556"/>
      <c r="CY5" s="556" t="str">
        <f>IF(T5="","",T5)</f>
        <v>Наименование признака дифференциации</v>
      </c>
      <c r="CZ5" s="556"/>
      <c r="DA5" s="556"/>
      <c r="DB5" s="1211">
        <v>0</v>
      </c>
    </row>
    <row customHeight="1" ht="23.25" hidden="1">
      <c r="A6" s="1419"/>
      <c r="B6" s="1419"/>
      <c r="C6" s="1419"/>
      <c r="D6" s="1419"/>
      <c r="E6" s="2315"/>
      <c r="F6" s="2315"/>
      <c r="G6" s="2315"/>
      <c r="H6" s="2315"/>
      <c r="I6" s="2342"/>
      <c r="J6" s="2312">
        <f>I5&amp;".1"</f>
      </c>
      <c r="K6" s="1419"/>
      <c r="L6" s="1420" t="s">
        <v>538</v>
      </c>
      <c r="P6" s="2313"/>
      <c r="Q6" s="2313">
        <v>1</v>
      </c>
      <c r="R6" s="413"/>
      <c r="S6" s="1481">
        <f>$J6</f>
      </c>
      <c r="T6" s="342" t="s">
        <v>539</v>
      </c>
      <c r="U6" s="356"/>
      <c r="V6" s="2301"/>
      <c r="W6" s="2302"/>
      <c r="X6" s="2302"/>
      <c r="Y6" s="2302"/>
      <c r="Z6" s="2302"/>
      <c r="AA6" s="2302"/>
      <c r="AB6" s="2303"/>
      <c r="AC6" s="2301"/>
      <c r="AD6" s="2302"/>
      <c r="AE6" s="2302"/>
      <c r="AF6" s="2302"/>
      <c r="AG6" s="2302"/>
      <c r="AH6" s="2302"/>
      <c r="AI6" s="2302"/>
      <c r="AJ6" s="3874"/>
      <c r="AK6" s="3875"/>
      <c r="AL6" s="3875"/>
      <c r="AM6" s="3875"/>
      <c r="AN6" s="3875"/>
      <c r="AO6" s="3875"/>
      <c r="AP6" s="3876"/>
      <c r="AQ6" s="3874"/>
      <c r="AR6" s="3875"/>
      <c r="AS6" s="3875"/>
      <c r="AT6" s="3875"/>
      <c r="AU6" s="3875"/>
      <c r="AV6" s="3875"/>
      <c r="AW6" s="3876"/>
      <c r="AX6" s="3874"/>
      <c r="AY6" s="3875"/>
      <c r="AZ6" s="3875"/>
      <c r="BA6" s="3875"/>
      <c r="BB6" s="3875"/>
      <c r="BC6" s="3875"/>
      <c r="BD6" s="3876"/>
      <c r="BE6" s="3874"/>
      <c r="BF6" s="3875"/>
      <c r="BG6" s="3875"/>
      <c r="BH6" s="3875"/>
      <c r="BI6" s="3875"/>
      <c r="BJ6" s="3875"/>
      <c r="BK6" s="3876"/>
      <c r="BL6" s="3874"/>
      <c r="BM6" s="3875"/>
      <c r="BN6" s="3875"/>
      <c r="BO6" s="3875"/>
      <c r="BP6" s="3875"/>
      <c r="BQ6" s="3875"/>
      <c r="BR6" s="3876"/>
      <c r="BS6" s="3874"/>
      <c r="BT6" s="3875"/>
      <c r="BU6" s="3875"/>
      <c r="BV6" s="3875"/>
      <c r="BW6" s="3875"/>
      <c r="BX6" s="3875"/>
      <c r="BY6" s="3876"/>
      <c r="BZ6" s="3874"/>
      <c r="CA6" s="3875"/>
      <c r="CB6" s="3875"/>
      <c r="CC6" s="3875"/>
      <c r="CD6" s="3875"/>
      <c r="CE6" s="3875"/>
      <c r="CF6" s="3876"/>
      <c r="CG6" s="3874"/>
      <c r="CH6" s="3875"/>
      <c r="CI6" s="3875"/>
      <c r="CJ6" s="3875"/>
      <c r="CK6" s="3875"/>
      <c r="CL6" s="3875"/>
      <c r="CM6" s="3876"/>
      <c r="CN6" s="3874"/>
      <c r="CO6" s="3875"/>
      <c r="CP6" s="3875"/>
      <c r="CQ6" s="3875"/>
      <c r="CR6" s="3875"/>
      <c r="CS6" s="3875"/>
      <c r="CT6" s="3876"/>
      <c r="CU6" s="2303"/>
      <c r="CV6" s="1363" t="s">
        <v>614</v>
      </c>
      <c r="CX6" s="556"/>
      <c r="CY6" s="556" t="str">
        <f>IF(T6="","",T6)</f>
        <v>Группа потребителей</v>
      </c>
      <c r="CZ6" s="556"/>
      <c r="DA6" s="556"/>
      <c r="DB6" s="1211">
        <v>0</v>
      </c>
    </row>
    <row customHeight="1" ht="23.25" hidden="1">
      <c r="A7" s="1419"/>
      <c r="B7" s="1419"/>
      <c r="C7" s="1419"/>
      <c r="D7" s="1419"/>
      <c r="E7" s="2315"/>
      <c r="F7" s="2315"/>
      <c r="G7" s="2315"/>
      <c r="H7" s="2315"/>
      <c r="I7" s="2342"/>
      <c r="J7" s="2342"/>
      <c r="K7" s="2312">
        <f>J6&amp;".1"</f>
      </c>
      <c r="L7" s="1420"/>
      <c r="P7" s="2313"/>
      <c r="Q7" s="2313"/>
      <c r="R7" s="413">
        <v>1</v>
      </c>
      <c r="S7" s="1481">
        <f>$K7</f>
      </c>
      <c r="T7" s="1493"/>
      <c r="U7" s="356"/>
      <c r="V7" s="807"/>
      <c r="W7" s="807"/>
      <c r="X7" s="1313"/>
      <c r="Y7" s="2321"/>
      <c r="Z7" s="2163" t="s">
        <v>65</v>
      </c>
      <c r="AA7" s="2321"/>
      <c r="AB7" s="2163" t="s">
        <v>65</v>
      </c>
      <c r="AC7" s="807"/>
      <c r="AD7" s="807"/>
      <c r="AE7" s="1313"/>
      <c r="AF7" s="2321"/>
      <c r="AG7" s="2163" t="s">
        <v>65</v>
      </c>
      <c r="AH7" s="2343"/>
      <c r="AI7" s="2163" t="s">
        <v>65</v>
      </c>
      <c r="AJ7" s="3878"/>
      <c r="AK7" s="3878"/>
      <c r="AL7" s="3879"/>
      <c r="AM7" s="3880"/>
      <c r="AN7" s="3881" t="s">
        <v>65</v>
      </c>
      <c r="AO7" s="3880"/>
      <c r="AP7" s="3881" t="s">
        <v>65</v>
      </c>
      <c r="AQ7" s="3878"/>
      <c r="AR7" s="3878"/>
      <c r="AS7" s="3879"/>
      <c r="AT7" s="3880"/>
      <c r="AU7" s="3881" t="s">
        <v>65</v>
      </c>
      <c r="AV7" s="3880"/>
      <c r="AW7" s="3881" t="s">
        <v>65</v>
      </c>
      <c r="AX7" s="3878"/>
      <c r="AY7" s="3878"/>
      <c r="AZ7" s="3879"/>
      <c r="BA7" s="3880"/>
      <c r="BB7" s="3881" t="s">
        <v>65</v>
      </c>
      <c r="BC7" s="3880"/>
      <c r="BD7" s="3881" t="s">
        <v>65</v>
      </c>
      <c r="BE7" s="3878"/>
      <c r="BF7" s="3878"/>
      <c r="BG7" s="3879"/>
      <c r="BH7" s="3880"/>
      <c r="BI7" s="3881" t="s">
        <v>65</v>
      </c>
      <c r="BJ7" s="3880"/>
      <c r="BK7" s="3881" t="s">
        <v>65</v>
      </c>
      <c r="BL7" s="3878"/>
      <c r="BM7" s="3878"/>
      <c r="BN7" s="3879"/>
      <c r="BO7" s="3880"/>
      <c r="BP7" s="3881" t="s">
        <v>65</v>
      </c>
      <c r="BQ7" s="3880"/>
      <c r="BR7" s="3881" t="s">
        <v>65</v>
      </c>
      <c r="BS7" s="3878"/>
      <c r="BT7" s="3878"/>
      <c r="BU7" s="3879"/>
      <c r="BV7" s="3880"/>
      <c r="BW7" s="3881" t="s">
        <v>65</v>
      </c>
      <c r="BX7" s="3880"/>
      <c r="BY7" s="3881" t="s">
        <v>65</v>
      </c>
      <c r="BZ7" s="3878"/>
      <c r="CA7" s="3878"/>
      <c r="CB7" s="3879"/>
      <c r="CC7" s="3880"/>
      <c r="CD7" s="3881" t="s">
        <v>65</v>
      </c>
      <c r="CE7" s="3880"/>
      <c r="CF7" s="3881" t="s">
        <v>65</v>
      </c>
      <c r="CG7" s="3878"/>
      <c r="CH7" s="3878"/>
      <c r="CI7" s="3879"/>
      <c r="CJ7" s="3880"/>
      <c r="CK7" s="3881" t="s">
        <v>65</v>
      </c>
      <c r="CL7" s="3880"/>
      <c r="CM7" s="3881" t="s">
        <v>65</v>
      </c>
      <c r="CN7" s="3878"/>
      <c r="CO7" s="3878"/>
      <c r="CP7" s="3879"/>
      <c r="CQ7" s="3880"/>
      <c r="CR7" s="3881" t="s">
        <v>65</v>
      </c>
      <c r="CS7" s="3880"/>
      <c r="CT7" s="3881" t="s">
        <v>65</v>
      </c>
      <c r="CU7" s="1494"/>
      <c r="CV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 s="567">
        <f>STRCHECKDATE(V8:CU8)</f>
      </c>
      <c r="CX7" s="556"/>
      <c r="CY7" s="556" t="str">
        <f>IF(T7="","",T7)</f>
        <v/>
      </c>
      <c r="CZ7" s="556"/>
      <c r="DA7" s="556"/>
      <c r="DB7" s="1211">
        <v>0</v>
      </c>
    </row>
    <row customHeight="1" ht="14.25" hidden="1">
      <c r="A8" s="1419"/>
      <c r="B8" s="1419"/>
      <c r="C8" s="1419"/>
      <c r="D8" s="1419"/>
      <c r="E8" s="2315"/>
      <c r="F8" s="2315"/>
      <c r="G8" s="2315"/>
      <c r="H8" s="2315"/>
      <c r="I8" s="2342"/>
      <c r="J8" s="2342"/>
      <c r="K8" s="2312"/>
      <c r="L8" s="1420"/>
      <c r="P8" s="2313"/>
      <c r="Q8" s="2313"/>
      <c r="R8" s="413"/>
      <c r="S8" s="1480"/>
      <c r="T8" s="356"/>
      <c r="U8" s="356"/>
      <c r="V8" s="381"/>
      <c r="W8" s="381"/>
      <c r="X8" s="384" t="str">
        <f>Y7&amp;"-"&amp;AA7</f>
        <v>-</v>
      </c>
      <c r="Y8" s="2322"/>
      <c r="Z8" s="2163"/>
      <c r="AA8" s="2322"/>
      <c r="AB8" s="2163"/>
      <c r="AC8" s="381"/>
      <c r="AD8" s="381"/>
      <c r="AE8" s="384" t="str">
        <f>AF7&amp;"-"&amp;AH7</f>
        <v>-</v>
      </c>
      <c r="AF8" s="2322"/>
      <c r="AG8" s="2163"/>
      <c r="AH8" s="2344"/>
      <c r="AI8" s="2163"/>
      <c r="AJ8" s="3885"/>
      <c r="AK8" s="3885"/>
      <c r="AL8" s="3886" t="str">
        <f>AM7&amp;"-"&amp;AO7</f>
        <v>-</v>
      </c>
      <c r="AM8" s="3887"/>
      <c r="AN8" s="3881"/>
      <c r="AO8" s="3887"/>
      <c r="AP8" s="3881"/>
      <c r="AQ8" s="3885"/>
      <c r="AR8" s="3885"/>
      <c r="AS8" s="3886" t="str">
        <f>AT7&amp;"-"&amp;AV7</f>
        <v>-</v>
      </c>
      <c r="AT8" s="3887"/>
      <c r="AU8" s="3881"/>
      <c r="AV8" s="3887"/>
      <c r="AW8" s="3881"/>
      <c r="AX8" s="3885"/>
      <c r="AY8" s="3885"/>
      <c r="AZ8" s="3886" t="str">
        <f>BA7&amp;"-"&amp;BC7</f>
        <v>-</v>
      </c>
      <c r="BA8" s="3887"/>
      <c r="BB8" s="3881"/>
      <c r="BC8" s="3887"/>
      <c r="BD8" s="3881"/>
      <c r="BE8" s="3885"/>
      <c r="BF8" s="3885"/>
      <c r="BG8" s="3886" t="str">
        <f>BH7&amp;"-"&amp;BJ7</f>
        <v>-</v>
      </c>
      <c r="BH8" s="3887"/>
      <c r="BI8" s="3881"/>
      <c r="BJ8" s="3887"/>
      <c r="BK8" s="3881"/>
      <c r="BL8" s="3885"/>
      <c r="BM8" s="3885"/>
      <c r="BN8" s="3886" t="str">
        <f>BO7&amp;"-"&amp;BQ7</f>
        <v>-</v>
      </c>
      <c r="BO8" s="3887"/>
      <c r="BP8" s="3881"/>
      <c r="BQ8" s="3887"/>
      <c r="BR8" s="3881"/>
      <c r="BS8" s="3885"/>
      <c r="BT8" s="3885"/>
      <c r="BU8" s="3886" t="str">
        <f>BV7&amp;"-"&amp;BX7</f>
        <v>-</v>
      </c>
      <c r="BV8" s="3887"/>
      <c r="BW8" s="3881"/>
      <c r="BX8" s="3887"/>
      <c r="BY8" s="3881"/>
      <c r="BZ8" s="3885"/>
      <c r="CA8" s="3885"/>
      <c r="CB8" s="3886" t="str">
        <f>CC7&amp;"-"&amp;CE7</f>
        <v>-</v>
      </c>
      <c r="CC8" s="3887"/>
      <c r="CD8" s="3881"/>
      <c r="CE8" s="3887"/>
      <c r="CF8" s="3881"/>
      <c r="CG8" s="3885"/>
      <c r="CH8" s="3885"/>
      <c r="CI8" s="3886" t="str">
        <f>CJ7&amp;"-"&amp;CL7</f>
        <v>-</v>
      </c>
      <c r="CJ8" s="3887"/>
      <c r="CK8" s="3881"/>
      <c r="CL8" s="3887"/>
      <c r="CM8" s="3881"/>
      <c r="CN8" s="3885"/>
      <c r="CO8" s="3885"/>
      <c r="CP8" s="3886" t="str">
        <f>CQ7&amp;"-"&amp;CS7</f>
        <v>-</v>
      </c>
      <c r="CQ8" s="3887"/>
      <c r="CR8" s="3881"/>
      <c r="CS8" s="3887"/>
      <c r="CT8" s="3881"/>
      <c r="CU8" s="1495"/>
      <c r="CV8" s="2405"/>
      <c r="CX8" s="556"/>
      <c r="CY8" s="556" t="str">
        <f>IF(T8="","",T8)</f>
        <v/>
      </c>
      <c r="CZ8" s="556"/>
      <c r="DA8" s="556"/>
      <c r="DB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3889"/>
      <c r="AK9" s="3890"/>
      <c r="AL9" s="3891"/>
      <c r="AM9" s="3892"/>
      <c r="AN9" s="3893"/>
      <c r="AO9" s="3894"/>
      <c r="AP9" s="3895"/>
      <c r="AQ9" s="3896"/>
      <c r="AR9" s="3897"/>
      <c r="AS9" s="3898"/>
      <c r="AT9" s="3899"/>
      <c r="AU9" s="3900"/>
      <c r="AV9" s="3901"/>
      <c r="AW9" s="3902"/>
      <c r="AX9" s="3903"/>
      <c r="AY9" s="3904"/>
      <c r="AZ9" s="3905"/>
      <c r="BA9" s="3906"/>
      <c r="BB9" s="3907"/>
      <c r="BC9" s="3908"/>
      <c r="BD9" s="3909"/>
      <c r="BE9" s="3910"/>
      <c r="BF9" s="3911"/>
      <c r="BG9" s="3912"/>
      <c r="BH9" s="3913"/>
      <c r="BI9" s="3914"/>
      <c r="BJ9" s="3915"/>
      <c r="BK9" s="3916"/>
      <c r="BL9" s="3917"/>
      <c r="BM9" s="3918"/>
      <c r="BN9" s="3919"/>
      <c r="BO9" s="3920"/>
      <c r="BP9" s="3921"/>
      <c r="BQ9" s="3922"/>
      <c r="BR9" s="3923"/>
      <c r="BS9" s="3924"/>
      <c r="BT9" s="3925"/>
      <c r="BU9" s="3926"/>
      <c r="BV9" s="3927"/>
      <c r="BW9" s="3928"/>
      <c r="BX9" s="3929"/>
      <c r="BY9" s="3930"/>
      <c r="BZ9" s="3931"/>
      <c r="CA9" s="3932"/>
      <c r="CB9" s="3933"/>
      <c r="CC9" s="3934"/>
      <c r="CD9" s="3935"/>
      <c r="CE9" s="3936"/>
      <c r="CF9" s="3937"/>
      <c r="CG9" s="3938"/>
      <c r="CH9" s="3939"/>
      <c r="CI9" s="3940"/>
      <c r="CJ9" s="3941"/>
      <c r="CK9" s="3942"/>
      <c r="CL9" s="3943"/>
      <c r="CM9" s="3944"/>
      <c r="CN9" s="3945"/>
      <c r="CO9" s="3946"/>
      <c r="CP9" s="3947"/>
      <c r="CQ9" s="3948"/>
      <c r="CR9" s="3949"/>
      <c r="CS9" s="3950"/>
      <c r="CT9" s="3951"/>
      <c r="CU9" s="423"/>
      <c r="CV9" s="1314" t="s">
        <v>616</v>
      </c>
      <c r="CX9" s="556"/>
      <c r="CY9" s="556" t="str">
        <f>IF(T9="","",T9)</f>
        <v>Добавить значение признака дифференциации</v>
      </c>
      <c r="CZ9" s="556"/>
      <c r="DA9" s="556"/>
      <c r="DB9" s="1211">
        <v>0</v>
      </c>
    </row>
    <row customHeight="1" ht="21" hidden="1">
      <c r="A10" s="1419"/>
      <c r="B10" s="1419"/>
      <c r="C10" s="1419"/>
      <c r="D10" s="1419"/>
      <c r="E10" s="2315"/>
      <c r="F10" s="2315"/>
      <c r="G10" s="2315"/>
      <c r="H10" s="2315"/>
      <c r="I10" s="2312"/>
      <c r="J10" s="1419"/>
      <c r="K10" s="1419"/>
      <c r="L10" s="1420"/>
      <c r="P10" s="2313"/>
      <c r="Q10" s="1478"/>
      <c r="R10" s="412"/>
      <c r="S10" s="1334"/>
      <c r="T10" s="421" t="s">
        <v>544</v>
      </c>
      <c r="U10" s="423"/>
      <c r="V10" s="423"/>
      <c r="W10" s="423"/>
      <c r="X10" s="423"/>
      <c r="Y10" s="423"/>
      <c r="Z10" s="423"/>
      <c r="AA10" s="423"/>
      <c r="AB10" s="422"/>
      <c r="AC10" s="423"/>
      <c r="AD10" s="423"/>
      <c r="AE10" s="423"/>
      <c r="AF10" s="423"/>
      <c r="AG10" s="423"/>
      <c r="AH10" s="423"/>
      <c r="AI10" s="422"/>
      <c r="AJ10" s="3952"/>
      <c r="AK10" s="3953"/>
      <c r="AL10" s="3954"/>
      <c r="AM10" s="3955"/>
      <c r="AN10" s="3956"/>
      <c r="AO10" s="3957"/>
      <c r="AP10" s="3958"/>
      <c r="AQ10" s="3959"/>
      <c r="AR10" s="3960"/>
      <c r="AS10" s="3961"/>
      <c r="AT10" s="3962"/>
      <c r="AU10" s="3963"/>
      <c r="AV10" s="3964"/>
      <c r="AW10" s="3965"/>
      <c r="AX10" s="3966"/>
      <c r="AY10" s="3967"/>
      <c r="AZ10" s="3968"/>
      <c r="BA10" s="3969"/>
      <c r="BB10" s="3970"/>
      <c r="BC10" s="3971"/>
      <c r="BD10" s="3972"/>
      <c r="BE10" s="3973"/>
      <c r="BF10" s="3974"/>
      <c r="BG10" s="3975"/>
      <c r="BH10" s="3976"/>
      <c r="BI10" s="3977"/>
      <c r="BJ10" s="3978"/>
      <c r="BK10" s="3979"/>
      <c r="BL10" s="3980"/>
      <c r="BM10" s="3981"/>
      <c r="BN10" s="3982"/>
      <c r="BO10" s="3983"/>
      <c r="BP10" s="3984"/>
      <c r="BQ10" s="3985"/>
      <c r="BR10" s="3986"/>
      <c r="BS10" s="3987"/>
      <c r="BT10" s="3988"/>
      <c r="BU10" s="3989"/>
      <c r="BV10" s="3990"/>
      <c r="BW10" s="3991"/>
      <c r="BX10" s="3992"/>
      <c r="BY10" s="3993"/>
      <c r="BZ10" s="3994"/>
      <c r="CA10" s="3995"/>
      <c r="CB10" s="3996"/>
      <c r="CC10" s="3997"/>
      <c r="CD10" s="3998"/>
      <c r="CE10" s="3999"/>
      <c r="CF10" s="4000"/>
      <c r="CG10" s="4001"/>
      <c r="CH10" s="4002"/>
      <c r="CI10" s="4003"/>
      <c r="CJ10" s="4004"/>
      <c r="CK10" s="4005"/>
      <c r="CL10" s="4006"/>
      <c r="CM10" s="4007"/>
      <c r="CN10" s="4008"/>
      <c r="CO10" s="4009"/>
      <c r="CP10" s="4010"/>
      <c r="CQ10" s="4011"/>
      <c r="CR10" s="4012"/>
      <c r="CS10" s="4013"/>
      <c r="CT10" s="4014"/>
      <c r="CU10" s="423"/>
      <c r="CV10" s="1496"/>
      <c r="CX10" s="556"/>
      <c r="CY10" s="556" t="str">
        <f>IF(T10="","",T10)</f>
        <v>Добавить группу потребителей</v>
      </c>
      <c r="CZ10" s="556"/>
      <c r="DA10" s="556"/>
      <c r="DB10" s="1211">
        <v>0</v>
      </c>
    </row>
    <row customHeight="1" ht="14.25"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017"/>
      <c r="AK11" s="4018"/>
      <c r="AL11" s="4019"/>
      <c r="AM11" s="4020"/>
      <c r="AN11" s="4021"/>
      <c r="AO11" s="4022"/>
      <c r="AP11" s="4023"/>
      <c r="AQ11" s="4024"/>
      <c r="AR11" s="4025"/>
      <c r="AS11" s="4026"/>
      <c r="AT11" s="4027"/>
      <c r="AU11" s="4028"/>
      <c r="AV11" s="4029"/>
      <c r="AW11" s="4030"/>
      <c r="AX11" s="4031"/>
      <c r="AY11" s="4032"/>
      <c r="AZ11" s="4033"/>
      <c r="BA11" s="4034"/>
      <c r="BB11" s="4035"/>
      <c r="BC11" s="4036"/>
      <c r="BD11" s="4037"/>
      <c r="BE11" s="4038"/>
      <c r="BF11" s="4039"/>
      <c r="BG11" s="4040"/>
      <c r="BH11" s="4041"/>
      <c r="BI11" s="4042"/>
      <c r="BJ11" s="4043"/>
      <c r="BK11" s="4044"/>
      <c r="BL11" s="4045"/>
      <c r="BM11" s="4046"/>
      <c r="BN11" s="4047"/>
      <c r="BO11" s="4048"/>
      <c r="BP11" s="4049"/>
      <c r="BQ11" s="4050"/>
      <c r="BR11" s="4051"/>
      <c r="BS11" s="4052"/>
      <c r="BT11" s="4053"/>
      <c r="BU11" s="4054"/>
      <c r="BV11" s="4055"/>
      <c r="BW11" s="4056"/>
      <c r="BX11" s="4057"/>
      <c r="BY11" s="4058"/>
      <c r="BZ11" s="4059"/>
      <c r="CA11" s="4060"/>
      <c r="CB11" s="4061"/>
      <c r="CC11" s="4062"/>
      <c r="CD11" s="4063"/>
      <c r="CE11" s="4064"/>
      <c r="CF11" s="4065"/>
      <c r="CG11" s="4066"/>
      <c r="CH11" s="4067"/>
      <c r="CI11" s="4068"/>
      <c r="CJ11" s="4069"/>
      <c r="CK11" s="4070"/>
      <c r="CL11" s="4071"/>
      <c r="CM11" s="4072"/>
      <c r="CN11" s="4073"/>
      <c r="CO11" s="4074"/>
      <c r="CP11" s="4075"/>
      <c r="CQ11" s="4076"/>
      <c r="CR11" s="4077"/>
      <c r="CS11" s="4078"/>
      <c r="CT11" s="4079"/>
      <c r="CU11" s="423"/>
      <c r="CV11" s="359"/>
      <c r="CX11" s="556"/>
      <c r="CY11" s="556" t="str">
        <f>IF(T11="","",T11)</f>
        <v>Добавить наименование признака дифференциации</v>
      </c>
      <c r="CZ11" s="556"/>
      <c r="DA11" s="556"/>
      <c r="DB11" s="1211">
        <v>0</v>
      </c>
    </row>
    <row s="2851" customFormat="1" customHeight="1" ht="14.25" hidden="1">
      <c r="A12" s="1399"/>
      <c r="B12" s="1399"/>
      <c r="C12" s="1370"/>
      <c r="D12" s="1370"/>
      <c r="E12" s="2315"/>
      <c r="F12" s="2314"/>
      <c r="G12" s="1370"/>
      <c r="H12" s="1370"/>
      <c r="I12" s="1370"/>
      <c r="J12" s="1370"/>
      <c r="K12" s="1370"/>
      <c r="L12" s="1482"/>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4081"/>
      <c r="AK12" s="4081"/>
      <c r="AL12" s="4081"/>
      <c r="AM12" s="4081"/>
      <c r="AN12" s="4081"/>
      <c r="AO12" s="4081"/>
      <c r="AP12" s="4081"/>
      <c r="AQ12" s="4081"/>
      <c r="AR12" s="4081"/>
      <c r="AS12" s="4081"/>
      <c r="AT12" s="4081"/>
      <c r="AU12" s="4081"/>
      <c r="AV12" s="4081"/>
      <c r="AW12" s="4081"/>
      <c r="AX12" s="4081"/>
      <c r="AY12" s="4081"/>
      <c r="AZ12" s="4081"/>
      <c r="BA12" s="4081"/>
      <c r="BB12" s="4081"/>
      <c r="BC12" s="4081"/>
      <c r="BD12" s="4081"/>
      <c r="BE12" s="4081"/>
      <c r="BF12" s="4081"/>
      <c r="BG12" s="4081"/>
      <c r="BH12" s="4081"/>
      <c r="BI12" s="4081"/>
      <c r="BJ12" s="4081"/>
      <c r="BK12" s="4081"/>
      <c r="BL12" s="4081"/>
      <c r="BM12" s="4081"/>
      <c r="BN12" s="4081"/>
      <c r="BO12" s="4081"/>
      <c r="BP12" s="4081"/>
      <c r="BQ12" s="4081"/>
      <c r="BR12" s="4081"/>
      <c r="BS12" s="4081"/>
      <c r="BT12" s="4081"/>
      <c r="BU12" s="4081"/>
      <c r="BV12" s="4081"/>
      <c r="BW12" s="4081"/>
      <c r="BX12" s="4081"/>
      <c r="BY12" s="4081"/>
      <c r="BZ12" s="4081"/>
      <c r="CA12" s="4081"/>
      <c r="CB12" s="4081"/>
      <c r="CC12" s="4081"/>
      <c r="CD12" s="4081"/>
      <c r="CE12" s="4081"/>
      <c r="CF12" s="4081"/>
      <c r="CG12" s="4081"/>
      <c r="CH12" s="4081"/>
      <c r="CI12" s="4081"/>
      <c r="CJ12" s="4081"/>
      <c r="CK12" s="4081"/>
      <c r="CL12" s="4081"/>
      <c r="CM12" s="4081"/>
      <c r="CN12" s="4081"/>
      <c r="CO12" s="4081"/>
      <c r="CP12" s="4081"/>
      <c r="CQ12" s="4081"/>
      <c r="CR12" s="4081"/>
      <c r="CS12" s="4081"/>
      <c r="CT12" s="4081"/>
      <c r="CU12" s="1380"/>
      <c r="CV12" s="1380"/>
      <c r="CX12" s="845"/>
      <c r="CY12" s="845" t="str">
        <f>IF(T12="","",T12)</f>
        <v>Добавить централизованную систему для дифференциации</v>
      </c>
      <c r="CZ12" s="845"/>
      <c r="DA12" s="845"/>
      <c r="DB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4081"/>
      <c r="AK13" s="4081"/>
      <c r="AL13" s="4081"/>
      <c r="AM13" s="4081"/>
      <c r="AN13" s="4081"/>
      <c r="AO13" s="4081"/>
      <c r="AP13" s="4081"/>
      <c r="AQ13" s="4081"/>
      <c r="AR13" s="4081"/>
      <c r="AS13" s="4081"/>
      <c r="AT13" s="4081"/>
      <c r="AU13" s="4081"/>
      <c r="AV13" s="4081"/>
      <c r="AW13" s="4081"/>
      <c r="AX13" s="4081"/>
      <c r="AY13" s="4081"/>
      <c r="AZ13" s="4081"/>
      <c r="BA13" s="4081"/>
      <c r="BB13" s="4081"/>
      <c r="BC13" s="4081"/>
      <c r="BD13" s="4081"/>
      <c r="BE13" s="4081"/>
      <c r="BF13" s="4081"/>
      <c r="BG13" s="4081"/>
      <c r="BH13" s="4081"/>
      <c r="BI13" s="4081"/>
      <c r="BJ13" s="4081"/>
      <c r="BK13" s="4081"/>
      <c r="BL13" s="4081"/>
      <c r="BM13" s="4081"/>
      <c r="BN13" s="4081"/>
      <c r="BO13" s="4081"/>
      <c r="BP13" s="4081"/>
      <c r="BQ13" s="4081"/>
      <c r="BR13" s="4081"/>
      <c r="BS13" s="4081"/>
      <c r="BT13" s="4081"/>
      <c r="BU13" s="4081"/>
      <c r="BV13" s="4081"/>
      <c r="BW13" s="4081"/>
      <c r="BX13" s="4081"/>
      <c r="BY13" s="4081"/>
      <c r="BZ13" s="4081"/>
      <c r="CA13" s="4081"/>
      <c r="CB13" s="4081"/>
      <c r="CC13" s="4081"/>
      <c r="CD13" s="4081"/>
      <c r="CE13" s="4081"/>
      <c r="CF13" s="4081"/>
      <c r="CG13" s="4081"/>
      <c r="CH13" s="4081"/>
      <c r="CI13" s="4081"/>
      <c r="CJ13" s="4081"/>
      <c r="CK13" s="4081"/>
      <c r="CL13" s="4081"/>
      <c r="CM13" s="4081"/>
      <c r="CN13" s="4081"/>
      <c r="CO13" s="4081"/>
      <c r="CP13" s="4081"/>
      <c r="CQ13" s="4081"/>
      <c r="CR13" s="4081"/>
      <c r="CS13" s="4081"/>
      <c r="CT13" s="4081"/>
      <c r="CU13" s="1380"/>
      <c r="CV13" s="1380"/>
      <c r="CX13" s="556"/>
      <c r="CY13" s="556" t="str">
        <f>IF(T13="","",T13)</f>
        <v>Добавить территорию для дифференциации</v>
      </c>
      <c r="CZ13" s="556"/>
      <c r="DA13" s="556"/>
      <c r="DB13" s="567">
        <v>0</v>
      </c>
    </row>
    <row customHeight="1" ht="14.25" hidden="1">
      <c r="AB14" s="383"/>
      <c r="AI14" s="383"/>
      <c r="AJ14" s="3858"/>
      <c r="AK14" s="3858"/>
      <c r="AL14" s="3858"/>
      <c r="AM14" s="3858"/>
      <c r="AN14" s="3858"/>
      <c r="AO14" s="3858"/>
      <c r="AP14" s="3858"/>
      <c r="AQ14" s="3858"/>
      <c r="AR14" s="3858"/>
      <c r="AS14" s="3858"/>
      <c r="AT14" s="3858"/>
      <c r="AU14" s="3858"/>
      <c r="AV14" s="3858"/>
      <c r="AW14" s="3858"/>
      <c r="AX14" s="3858"/>
      <c r="AY14" s="3858"/>
      <c r="AZ14" s="3858"/>
      <c r="BA14" s="3858"/>
      <c r="BB14" s="3858"/>
      <c r="BC14" s="3858"/>
      <c r="BD14" s="3858"/>
      <c r="BE14" s="3858"/>
      <c r="BF14" s="3858"/>
      <c r="BG14" s="3858"/>
      <c r="BH14" s="3858"/>
      <c r="BI14" s="3858"/>
      <c r="BJ14" s="3858"/>
      <c r="BK14" s="3858"/>
      <c r="BL14" s="3858"/>
      <c r="BM14" s="3858"/>
      <c r="BN14" s="3858"/>
      <c r="BO14" s="3858"/>
      <c r="BP14" s="3858"/>
      <c r="BQ14" s="3858"/>
      <c r="BR14" s="3858"/>
      <c r="BS14" s="3858"/>
      <c r="BT14" s="3858"/>
      <c r="BU14" s="3858"/>
      <c r="BV14" s="3858"/>
      <c r="BW14" s="3858"/>
      <c r="BX14" s="3858"/>
      <c r="BY14" s="3858"/>
      <c r="BZ14" s="3858"/>
      <c r="CA14" s="3858"/>
      <c r="CB14" s="3858"/>
      <c r="CC14" s="3858"/>
      <c r="CD14" s="3858"/>
      <c r="CE14" s="3858"/>
      <c r="CF14" s="3858"/>
      <c r="CG14" s="3858"/>
      <c r="CH14" s="3858"/>
      <c r="CI14" s="3858"/>
      <c r="CJ14" s="3858"/>
      <c r="CK14" s="3858"/>
      <c r="CL14" s="3858"/>
      <c r="CM14" s="3858"/>
      <c r="CN14" s="3858"/>
      <c r="CO14" s="3858"/>
      <c r="CP14" s="3858"/>
      <c r="CQ14" s="3858"/>
      <c r="CR14" s="3858"/>
      <c r="CS14" s="3858"/>
      <c r="CT14" s="3858"/>
      <c r="DB14" s="1211">
        <v>0</v>
      </c>
    </row>
    <row customHeight="1" ht="14.25" hidden="1">
      <c r="AC15" s="1416"/>
      <c r="AD15" s="1416"/>
      <c r="AE15" s="1417"/>
      <c r="AF15" s="2323"/>
      <c r="AG15" s="2324" t="s">
        <v>65</v>
      </c>
      <c r="AH15" s="2323"/>
      <c r="AI15" s="2324" t="s">
        <v>65</v>
      </c>
      <c r="AJ15" s="3858"/>
      <c r="AK15" s="3858"/>
      <c r="AL15" s="3858"/>
      <c r="AM15" s="3858"/>
      <c r="AN15" s="3858"/>
      <c r="AO15" s="3858"/>
      <c r="AP15" s="3858"/>
      <c r="AQ15" s="3858"/>
      <c r="AR15" s="3858"/>
      <c r="AS15" s="3858"/>
      <c r="AT15" s="3858"/>
      <c r="AU15" s="3858"/>
      <c r="AV15" s="3858"/>
      <c r="AW15" s="3858"/>
      <c r="AX15" s="3858"/>
      <c r="AY15" s="3858"/>
      <c r="AZ15" s="3858"/>
      <c r="BA15" s="3858"/>
      <c r="BB15" s="3858"/>
      <c r="BC15" s="3858"/>
      <c r="BD15" s="3858"/>
      <c r="BE15" s="3858"/>
      <c r="BF15" s="3858"/>
      <c r="BG15" s="3858"/>
      <c r="BH15" s="3858"/>
      <c r="BI15" s="3858"/>
      <c r="BJ15" s="3858"/>
      <c r="BK15" s="3858"/>
      <c r="BL15" s="3858"/>
      <c r="BM15" s="3858"/>
      <c r="BN15" s="3858"/>
      <c r="BO15" s="3858"/>
      <c r="BP15" s="3858"/>
      <c r="BQ15" s="3858"/>
      <c r="BR15" s="3858"/>
      <c r="BS15" s="3858"/>
      <c r="BT15" s="3858"/>
      <c r="BU15" s="3858"/>
      <c r="BV15" s="3858"/>
      <c r="BW15" s="3858"/>
      <c r="BX15" s="3858"/>
      <c r="BY15" s="3858"/>
      <c r="BZ15" s="3858"/>
      <c r="CA15" s="3858"/>
      <c r="CB15" s="3858"/>
      <c r="CC15" s="3858"/>
      <c r="CD15" s="3858"/>
      <c r="CE15" s="3858"/>
      <c r="CF15" s="3858"/>
      <c r="CG15" s="3858"/>
      <c r="CH15" s="3858"/>
      <c r="CI15" s="3858"/>
      <c r="CJ15" s="3858"/>
      <c r="CK15" s="3858"/>
      <c r="CL15" s="3858"/>
      <c r="CM15" s="3858"/>
      <c r="CN15" s="3858"/>
      <c r="CO15" s="3858"/>
      <c r="CP15" s="3858"/>
      <c r="CQ15" s="3858"/>
      <c r="CR15" s="3858"/>
      <c r="CS15" s="3858"/>
      <c r="CT15" s="3858"/>
      <c r="DB15" s="1211">
        <v>0</v>
      </c>
    </row>
    <row customHeight="1" ht="14.25" hidden="1">
      <c r="AC16" s="1416"/>
      <c r="AD16" s="1416"/>
      <c r="AE16" s="384" t="str">
        <f>AF15&amp;"-"&amp;AH15</f>
        <v>-</v>
      </c>
      <c r="AF16" s="2324"/>
      <c r="AG16" s="2324"/>
      <c r="AH16" s="2324"/>
      <c r="AI16" s="2324"/>
      <c r="AJ16" s="3858"/>
      <c r="AK16" s="3858"/>
      <c r="AL16" s="3858"/>
      <c r="AM16" s="3858"/>
      <c r="AN16" s="3858"/>
      <c r="AO16" s="3858"/>
      <c r="AP16" s="3858"/>
      <c r="AQ16" s="3858"/>
      <c r="AR16" s="3858"/>
      <c r="AS16" s="3858"/>
      <c r="AT16" s="3858"/>
      <c r="AU16" s="3858"/>
      <c r="AV16" s="3858"/>
      <c r="AW16" s="3858"/>
      <c r="AX16" s="3858"/>
      <c r="AY16" s="3858"/>
      <c r="AZ16" s="3858"/>
      <c r="BA16" s="3858"/>
      <c r="BB16" s="3858"/>
      <c r="BC16" s="3858"/>
      <c r="BD16" s="3858"/>
      <c r="BE16" s="3858"/>
      <c r="BF16" s="3858"/>
      <c r="BG16" s="3858"/>
      <c r="BH16" s="3858"/>
      <c r="BI16" s="3858"/>
      <c r="BJ16" s="3858"/>
      <c r="BK16" s="3858"/>
      <c r="BL16" s="3858"/>
      <c r="BM16" s="3858"/>
      <c r="BN16" s="3858"/>
      <c r="BO16" s="3858"/>
      <c r="BP16" s="3858"/>
      <c r="BQ16" s="3858"/>
      <c r="BR16" s="3858"/>
      <c r="BS16" s="3858"/>
      <c r="BT16" s="3858"/>
      <c r="BU16" s="3858"/>
      <c r="BV16" s="3858"/>
      <c r="BW16" s="3858"/>
      <c r="BX16" s="3858"/>
      <c r="BY16" s="3858"/>
      <c r="BZ16" s="3858"/>
      <c r="CA16" s="3858"/>
      <c r="CB16" s="3858"/>
      <c r="CC16" s="3858"/>
      <c r="CD16" s="3858"/>
      <c r="CE16" s="3858"/>
      <c r="CF16" s="3858"/>
      <c r="CG16" s="3858"/>
      <c r="CH16" s="3858"/>
      <c r="CI16" s="3858"/>
      <c r="CJ16" s="3858"/>
      <c r="CK16" s="3858"/>
      <c r="CL16" s="3858"/>
      <c r="CM16" s="3858"/>
      <c r="CN16" s="3858"/>
      <c r="CO16" s="3858"/>
      <c r="CP16" s="3858"/>
      <c r="CQ16" s="3858"/>
      <c r="CR16" s="3858"/>
      <c r="CS16" s="3858"/>
      <c r="CT16" s="3858"/>
      <c r="DB16" s="1211">
        <v>0</v>
      </c>
    </row>
    <row customHeight="1" ht="14.25" hidden="1">
      <c r="AI17" s="383"/>
      <c r="AJ17" s="3858"/>
      <c r="AK17" s="3858"/>
      <c r="AL17" s="3858"/>
      <c r="AM17" s="3858"/>
      <c r="AN17" s="3858"/>
      <c r="AO17" s="3858"/>
      <c r="AP17" s="3858"/>
      <c r="AQ17" s="3858"/>
      <c r="AR17" s="3858"/>
      <c r="AS17" s="3858"/>
      <c r="AT17" s="3858"/>
      <c r="AU17" s="3858"/>
      <c r="AV17" s="3858"/>
      <c r="AW17" s="3858"/>
      <c r="AX17" s="3858"/>
      <c r="AY17" s="3858"/>
      <c r="AZ17" s="3858"/>
      <c r="BA17" s="3858"/>
      <c r="BB17" s="3858"/>
      <c r="BC17" s="3858"/>
      <c r="BD17" s="3858"/>
      <c r="BE17" s="3858"/>
      <c r="BF17" s="3858"/>
      <c r="BG17" s="3858"/>
      <c r="BH17" s="3858"/>
      <c r="BI17" s="3858"/>
      <c r="BJ17" s="3858"/>
      <c r="BK17" s="3858"/>
      <c r="BL17" s="3858"/>
      <c r="BM17" s="3858"/>
      <c r="BN17" s="3858"/>
      <c r="BO17" s="3858"/>
      <c r="BP17" s="3858"/>
      <c r="BQ17" s="3858"/>
      <c r="BR17" s="3858"/>
      <c r="BS17" s="3858"/>
      <c r="BT17" s="3858"/>
      <c r="BU17" s="3858"/>
      <c r="BV17" s="3858"/>
      <c r="BW17" s="3858"/>
      <c r="BX17" s="3858"/>
      <c r="BY17" s="3858"/>
      <c r="BZ17" s="3858"/>
      <c r="CA17" s="3858"/>
      <c r="CB17" s="3858"/>
      <c r="CC17" s="3858"/>
      <c r="CD17" s="3858"/>
      <c r="CE17" s="3858"/>
      <c r="CF17" s="3858"/>
      <c r="CG17" s="3858"/>
      <c r="CH17" s="3858"/>
      <c r="CI17" s="3858"/>
      <c r="CJ17" s="3858"/>
      <c r="CK17" s="3858"/>
      <c r="CL17" s="3858"/>
      <c r="CM17" s="3858"/>
      <c r="CN17" s="3858"/>
      <c r="CO17" s="3858"/>
      <c r="CP17" s="3858"/>
      <c r="CQ17" s="3858"/>
      <c r="CR17" s="3858"/>
      <c r="CS17" s="3858"/>
      <c r="CT17" s="3858"/>
      <c r="DB17" s="1211">
        <v>0</v>
      </c>
    </row>
    <row s="2850" customFormat="1" customHeight="1" ht="22.5" hidden="1">
      <c r="L18" s="1477"/>
      <c r="M18" s="1418"/>
      <c r="N18" s="1418"/>
      <c r="O18" s="1423" t="s">
        <v>547</v>
      </c>
      <c r="P18" s="1418"/>
      <c r="Q18" s="1427"/>
      <c r="R18" s="1427"/>
      <c r="S18" s="785"/>
      <c r="Y18" s="1423"/>
      <c r="AA18" s="1423"/>
      <c r="AB18" s="1422"/>
      <c r="AF18" s="1423"/>
      <c r="AH18" s="1423"/>
      <c r="AI18" s="1422"/>
      <c r="AJ18" s="4083"/>
      <c r="AK18" s="4083"/>
      <c r="AL18" s="4083"/>
      <c r="AM18" s="4084"/>
      <c r="AN18" s="4083"/>
      <c r="AO18" s="4084"/>
      <c r="AP18" s="4083"/>
      <c r="AQ18" s="4083"/>
      <c r="AR18" s="4083"/>
      <c r="AS18" s="4083"/>
      <c r="AT18" s="4084"/>
      <c r="AU18" s="4083"/>
      <c r="AV18" s="4084"/>
      <c r="AW18" s="4083"/>
      <c r="AX18" s="4083"/>
      <c r="AY18" s="4083"/>
      <c r="AZ18" s="4083"/>
      <c r="BA18" s="4084"/>
      <c r="BB18" s="4083"/>
      <c r="BC18" s="4084"/>
      <c r="BD18" s="4083"/>
      <c r="BE18" s="4083"/>
      <c r="BF18" s="4083"/>
      <c r="BG18" s="4083"/>
      <c r="BH18" s="4084"/>
      <c r="BI18" s="4083"/>
      <c r="BJ18" s="4084"/>
      <c r="BK18" s="4083"/>
      <c r="BL18" s="4083"/>
      <c r="BM18" s="4083"/>
      <c r="BN18" s="4083"/>
      <c r="BO18" s="4084"/>
      <c r="BP18" s="4083"/>
      <c r="BQ18" s="4084"/>
      <c r="BR18" s="4083"/>
      <c r="BS18" s="4083"/>
      <c r="BT18" s="4083"/>
      <c r="BU18" s="4083"/>
      <c r="BV18" s="4084"/>
      <c r="BW18" s="4083"/>
      <c r="BX18" s="4084"/>
      <c r="BY18" s="4083"/>
      <c r="BZ18" s="4083"/>
      <c r="CA18" s="4083"/>
      <c r="CB18" s="4083"/>
      <c r="CC18" s="4084"/>
      <c r="CD18" s="4083"/>
      <c r="CE18" s="4084"/>
      <c r="CF18" s="4083"/>
      <c r="CG18" s="4083"/>
      <c r="CH18" s="4083"/>
      <c r="CI18" s="4083"/>
      <c r="CJ18" s="4084"/>
      <c r="CK18" s="4083"/>
      <c r="CL18" s="4084"/>
      <c r="CM18" s="4083"/>
      <c r="CN18" s="4083"/>
      <c r="CO18" s="4083"/>
      <c r="CP18" s="4083"/>
      <c r="CQ18" s="4084"/>
      <c r="CR18" s="4083"/>
      <c r="CS18" s="4084"/>
      <c r="CT18" s="4083"/>
      <c r="CW18" s="567"/>
      <c r="CX18" s="567"/>
      <c r="CY18" s="567"/>
      <c r="CZ18" s="567"/>
      <c r="DA18" s="567"/>
      <c r="DB18" s="1216">
        <v>0</v>
      </c>
    </row>
    <row s="2850" customFormat="1" customHeight="1" ht="14.25" hidden="1">
      <c r="L19" s="1477"/>
      <c r="M19" s="1418"/>
      <c r="N19" s="1418"/>
      <c r="O19" s="1418"/>
      <c r="P19" s="1418"/>
      <c r="Q19" s="1427"/>
      <c r="R19" s="1427"/>
      <c r="S19" s="785"/>
      <c r="AB19" s="1422"/>
      <c r="AI19" s="1422"/>
      <c r="AJ19" s="4083"/>
      <c r="AK19" s="4083"/>
      <c r="AL19" s="4083"/>
      <c r="AM19" s="4083"/>
      <c r="AN19" s="4083"/>
      <c r="AO19" s="4083"/>
      <c r="AP19" s="4083"/>
      <c r="AQ19" s="4083"/>
      <c r="AR19" s="4083"/>
      <c r="AS19" s="4083"/>
      <c r="AT19" s="4083"/>
      <c r="AU19" s="4083"/>
      <c r="AV19" s="4083"/>
      <c r="AW19" s="4083"/>
      <c r="AX19" s="4083"/>
      <c r="AY19" s="4083"/>
      <c r="AZ19" s="4083"/>
      <c r="BA19" s="4083"/>
      <c r="BB19" s="4083"/>
      <c r="BC19" s="4083"/>
      <c r="BD19" s="4083"/>
      <c r="BE19" s="4083"/>
      <c r="BF19" s="4083"/>
      <c r="BG19" s="4083"/>
      <c r="BH19" s="4083"/>
      <c r="BI19" s="4083"/>
      <c r="BJ19" s="4083"/>
      <c r="BK19" s="4083"/>
      <c r="BL19" s="4083"/>
      <c r="BM19" s="4083"/>
      <c r="BN19" s="4083"/>
      <c r="BO19" s="4083"/>
      <c r="BP19" s="4083"/>
      <c r="BQ19" s="4083"/>
      <c r="BR19" s="4083"/>
      <c r="BS19" s="4083"/>
      <c r="BT19" s="4083"/>
      <c r="BU19" s="4083"/>
      <c r="BV19" s="4083"/>
      <c r="BW19" s="4083"/>
      <c r="BX19" s="4083"/>
      <c r="BY19" s="4083"/>
      <c r="BZ19" s="4083"/>
      <c r="CA19" s="4083"/>
      <c r="CB19" s="4083"/>
      <c r="CC19" s="4083"/>
      <c r="CD19" s="4083"/>
      <c r="CE19" s="4083"/>
      <c r="CF19" s="4083"/>
      <c r="CG19" s="4083"/>
      <c r="CH19" s="4083"/>
      <c r="CI19" s="4083"/>
      <c r="CJ19" s="4083"/>
      <c r="CK19" s="4083"/>
      <c r="CL19" s="4083"/>
      <c r="CM19" s="4083"/>
      <c r="CN19" s="4083"/>
      <c r="CO19" s="4083"/>
      <c r="CP19" s="4083"/>
      <c r="CQ19" s="4083"/>
      <c r="CR19" s="4083"/>
      <c r="CS19" s="4083"/>
      <c r="CT19" s="4083"/>
      <c r="CW19" s="567"/>
      <c r="CX19" s="567"/>
      <c r="CY19" s="567"/>
      <c r="CZ19" s="567"/>
      <c r="DA19" s="567"/>
      <c r="DB19" s="1216">
        <v>0</v>
      </c>
    </row>
    <row s="2850" customFormat="1" customHeight="1" ht="12" hidden="1">
      <c r="L20" s="1477"/>
      <c r="M20" s="1418"/>
      <c r="N20" s="1418"/>
      <c r="O20" s="1420" t="s">
        <v>548</v>
      </c>
      <c r="P20" s="1418"/>
      <c r="Q20" s="1498"/>
      <c r="R20" s="1498"/>
      <c r="S20" s="785"/>
      <c r="T20" s="1216" t="s">
        <v>549</v>
      </c>
      <c r="Z20" s="242" t="s">
        <v>550</v>
      </c>
      <c r="AB20" s="242" t="s">
        <v>551</v>
      </c>
      <c r="AC20" s="1216" t="s">
        <v>549</v>
      </c>
      <c r="AG20" s="242" t="s">
        <v>552</v>
      </c>
      <c r="AI20" s="242" t="s">
        <v>551</v>
      </c>
      <c r="AJ20" s="4083"/>
      <c r="AK20" s="4083"/>
      <c r="AL20" s="4083"/>
      <c r="AM20" s="4083"/>
      <c r="AN20" s="4086" t="s">
        <v>550</v>
      </c>
      <c r="AO20" s="4083"/>
      <c r="AP20" s="4086" t="s">
        <v>551</v>
      </c>
      <c r="AQ20" s="4083"/>
      <c r="AR20" s="4083"/>
      <c r="AS20" s="4083"/>
      <c r="AT20" s="4083"/>
      <c r="AU20" s="4086" t="s">
        <v>550</v>
      </c>
      <c r="AV20" s="4083"/>
      <c r="AW20" s="4086" t="s">
        <v>551</v>
      </c>
      <c r="AX20" s="4083"/>
      <c r="AY20" s="4083"/>
      <c r="AZ20" s="4083"/>
      <c r="BA20" s="4083"/>
      <c r="BB20" s="4086" t="s">
        <v>550</v>
      </c>
      <c r="BC20" s="4083"/>
      <c r="BD20" s="4086" t="s">
        <v>551</v>
      </c>
      <c r="BE20" s="4083"/>
      <c r="BF20" s="4083"/>
      <c r="BG20" s="4083"/>
      <c r="BH20" s="4083"/>
      <c r="BI20" s="4086" t="s">
        <v>550</v>
      </c>
      <c r="BJ20" s="4083"/>
      <c r="BK20" s="4086" t="s">
        <v>551</v>
      </c>
      <c r="BL20" s="4083"/>
      <c r="BM20" s="4083"/>
      <c r="BN20" s="4083"/>
      <c r="BO20" s="4083"/>
      <c r="BP20" s="4086" t="s">
        <v>550</v>
      </c>
      <c r="BQ20" s="4083"/>
      <c r="BR20" s="4086" t="s">
        <v>551</v>
      </c>
      <c r="BS20" s="4083"/>
      <c r="BT20" s="4083"/>
      <c r="BU20" s="4083"/>
      <c r="BV20" s="4083"/>
      <c r="BW20" s="4086" t="s">
        <v>550</v>
      </c>
      <c r="BX20" s="4083"/>
      <c r="BY20" s="4086" t="s">
        <v>551</v>
      </c>
      <c r="BZ20" s="4083"/>
      <c r="CA20" s="4083"/>
      <c r="CB20" s="4083"/>
      <c r="CC20" s="4083"/>
      <c r="CD20" s="4086" t="s">
        <v>550</v>
      </c>
      <c r="CE20" s="4083"/>
      <c r="CF20" s="4086" t="s">
        <v>551</v>
      </c>
      <c r="CG20" s="4083"/>
      <c r="CH20" s="4083"/>
      <c r="CI20" s="4083"/>
      <c r="CJ20" s="4083"/>
      <c r="CK20" s="4086" t="s">
        <v>550</v>
      </c>
      <c r="CL20" s="4083"/>
      <c r="CM20" s="4086" t="s">
        <v>551</v>
      </c>
      <c r="CN20" s="4083"/>
      <c r="CO20" s="4083"/>
      <c r="CP20" s="4083"/>
      <c r="CQ20" s="4083"/>
      <c r="CR20" s="4086" t="s">
        <v>550</v>
      </c>
      <c r="CS20" s="4083"/>
      <c r="CT20" s="4086" t="s">
        <v>551</v>
      </c>
      <c r="DB20" s="1216">
        <v>0</v>
      </c>
    </row>
    <row customHeight="1" ht="14.25" hidden="1">
      <c r="O21" s="1420"/>
      <c r="AJ21" s="3858"/>
      <c r="AK21" s="3858"/>
      <c r="AL21" s="3858"/>
      <c r="AM21" s="3858"/>
      <c r="AN21" s="3858"/>
      <c r="AO21" s="3858"/>
      <c r="AP21" s="3858"/>
      <c r="AQ21" s="3858"/>
      <c r="AR21" s="3858"/>
      <c r="AS21" s="3858"/>
      <c r="AT21" s="3858"/>
      <c r="AU21" s="3858"/>
      <c r="AV21" s="3858"/>
      <c r="AW21" s="3858"/>
      <c r="AX21" s="3858"/>
      <c r="AY21" s="3858"/>
      <c r="AZ21" s="3858"/>
      <c r="BA21" s="3858"/>
      <c r="BB21" s="3858"/>
      <c r="BC21" s="3858"/>
      <c r="BD21" s="3858"/>
      <c r="BE21" s="3858"/>
      <c r="BF21" s="3858"/>
      <c r="BG21" s="3858"/>
      <c r="BH21" s="3858"/>
      <c r="BI21" s="3858"/>
      <c r="BJ21" s="3858"/>
      <c r="BK21" s="3858"/>
      <c r="BL21" s="3858"/>
      <c r="BM21" s="3858"/>
      <c r="BN21" s="3858"/>
      <c r="BO21" s="3858"/>
      <c r="BP21" s="3858"/>
      <c r="BQ21" s="3858"/>
      <c r="BR21" s="3858"/>
      <c r="BS21" s="3858"/>
      <c r="BT21" s="3858"/>
      <c r="BU21" s="3858"/>
      <c r="BV21" s="3858"/>
      <c r="BW21" s="3858"/>
      <c r="BX21" s="3858"/>
      <c r="BY21" s="3858"/>
      <c r="BZ21" s="3858"/>
      <c r="CA21" s="3858"/>
      <c r="CB21" s="3858"/>
      <c r="CC21" s="3858"/>
      <c r="CD21" s="3858"/>
      <c r="CE21" s="3858"/>
      <c r="CF21" s="3858"/>
      <c r="CG21" s="3858"/>
      <c r="CH21" s="3858"/>
      <c r="CI21" s="3858"/>
      <c r="CJ21" s="3858"/>
      <c r="CK21" s="3858"/>
      <c r="CL21" s="3858"/>
      <c r="CM21" s="3858"/>
      <c r="CN21" s="3858"/>
      <c r="CO21" s="3858"/>
      <c r="CP21" s="3858"/>
      <c r="CQ21" s="3858"/>
      <c r="CR21" s="3858"/>
      <c r="CS21" s="3858"/>
      <c r="CT21" s="3858"/>
      <c r="DB21" s="1211">
        <v>0</v>
      </c>
    </row>
    <row customHeight="1" ht="14.25" hidden="1">
      <c r="O22" s="1420"/>
      <c r="AJ22" s="3858"/>
      <c r="AK22" s="3858"/>
      <c r="AL22" s="3858"/>
      <c r="AM22" s="3858"/>
      <c r="AN22" s="3858"/>
      <c r="AO22" s="3858"/>
      <c r="AP22" s="3858"/>
      <c r="AQ22" s="3858"/>
      <c r="AR22" s="3858"/>
      <c r="AS22" s="3858"/>
      <c r="AT22" s="3858"/>
      <c r="AU22" s="3858"/>
      <c r="AV22" s="3858"/>
      <c r="AW22" s="3858"/>
      <c r="AX22" s="3858"/>
      <c r="AY22" s="3858"/>
      <c r="AZ22" s="3858"/>
      <c r="BA22" s="3858"/>
      <c r="BB22" s="3858"/>
      <c r="BC22" s="3858"/>
      <c r="BD22" s="3858"/>
      <c r="BE22" s="3858"/>
      <c r="BF22" s="3858"/>
      <c r="BG22" s="3858"/>
      <c r="BH22" s="3858"/>
      <c r="BI22" s="3858"/>
      <c r="BJ22" s="3858"/>
      <c r="BK22" s="3858"/>
      <c r="BL22" s="3858"/>
      <c r="BM22" s="3858"/>
      <c r="BN22" s="3858"/>
      <c r="BO22" s="3858"/>
      <c r="BP22" s="3858"/>
      <c r="BQ22" s="3858"/>
      <c r="BR22" s="3858"/>
      <c r="BS22" s="3858"/>
      <c r="BT22" s="3858"/>
      <c r="BU22" s="3858"/>
      <c r="BV22" s="3858"/>
      <c r="BW22" s="3858"/>
      <c r="BX22" s="3858"/>
      <c r="BY22" s="3858"/>
      <c r="BZ22" s="3858"/>
      <c r="CA22" s="3858"/>
      <c r="CB22" s="3858"/>
      <c r="CC22" s="3858"/>
      <c r="CD22" s="3858"/>
      <c r="CE22" s="3858"/>
      <c r="CF22" s="3858"/>
      <c r="CG22" s="3858"/>
      <c r="CH22" s="3858"/>
      <c r="CI22" s="3858"/>
      <c r="CJ22" s="3858"/>
      <c r="CK22" s="3858"/>
      <c r="CL22" s="3858"/>
      <c r="CM22" s="3858"/>
      <c r="CN22" s="3858"/>
      <c r="CO22" s="3858"/>
      <c r="CP22" s="3858"/>
      <c r="CQ22" s="3858"/>
      <c r="CR22" s="3858"/>
      <c r="CS22" s="3858"/>
      <c r="CT22" s="3858"/>
      <c r="DB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J23" s="3858"/>
      <c r="AK23" s="3858"/>
      <c r="AL23" s="3858"/>
      <c r="AM23" s="3858"/>
      <c r="AN23" s="3858"/>
      <c r="AO23" s="3858"/>
      <c r="AP23" s="3858"/>
      <c r="AQ23" s="3858"/>
      <c r="AR23" s="3858"/>
      <c r="AS23" s="3858"/>
      <c r="AT23" s="3858"/>
      <c r="AU23" s="3858"/>
      <c r="AV23" s="3858"/>
      <c r="AW23" s="3858"/>
      <c r="AX23" s="3858"/>
      <c r="AY23" s="3858"/>
      <c r="AZ23" s="3858"/>
      <c r="BA23" s="3858"/>
      <c r="BB23" s="3858"/>
      <c r="BC23" s="3858"/>
      <c r="BD23" s="3858"/>
      <c r="BE23" s="3858"/>
      <c r="BF23" s="3858"/>
      <c r="BG23" s="3858"/>
      <c r="BH23" s="3858"/>
      <c r="BI23" s="3858"/>
      <c r="BJ23" s="3858"/>
      <c r="BK23" s="3858"/>
      <c r="BL23" s="3858"/>
      <c r="BM23" s="3858"/>
      <c r="BN23" s="3858"/>
      <c r="BO23" s="3858"/>
      <c r="BP23" s="3858"/>
      <c r="BQ23" s="3858"/>
      <c r="BR23" s="3858"/>
      <c r="BS23" s="3858"/>
      <c r="BT23" s="3858"/>
      <c r="BU23" s="3858"/>
      <c r="BV23" s="3858"/>
      <c r="BW23" s="3858"/>
      <c r="BX23" s="3858"/>
      <c r="BY23" s="3858"/>
      <c r="BZ23" s="3858"/>
      <c r="CA23" s="3858"/>
      <c r="CB23" s="3858"/>
      <c r="CC23" s="3858"/>
      <c r="CD23" s="3858"/>
      <c r="CE23" s="3858"/>
      <c r="CF23" s="3858"/>
      <c r="CG23" s="3858"/>
      <c r="CH23" s="3858"/>
      <c r="CI23" s="3858"/>
      <c r="CJ23" s="3858"/>
      <c r="CK23" s="3858"/>
      <c r="CL23" s="3858"/>
      <c r="CM23" s="3858"/>
      <c r="CN23" s="3858"/>
      <c r="CO23" s="3858"/>
      <c r="CP23" s="3858"/>
      <c r="CQ23" s="3858"/>
      <c r="CR23" s="3858"/>
      <c r="CS23" s="3858"/>
      <c r="CT23" s="3858"/>
      <c r="DB23" s="1211">
        <v>14</v>
      </c>
    </row>
    <row customHeight="1" ht="14.699999999999998">
      <c r="Q24" s="432"/>
      <c r="R24" s="432"/>
      <c r="S24" s="230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J24" s="4087"/>
      <c r="AK24" s="4087"/>
      <c r="AL24" s="4087"/>
      <c r="AM24" s="4087"/>
      <c r="AN24" s="4087"/>
      <c r="AO24" s="4087"/>
      <c r="AP24" s="4087"/>
      <c r="AQ24" s="4087"/>
      <c r="AR24" s="4087"/>
      <c r="AS24" s="4087"/>
      <c r="AT24" s="4087"/>
      <c r="AU24" s="4087"/>
      <c r="AV24" s="4087"/>
      <c r="AW24" s="4087"/>
      <c r="AX24" s="4087"/>
      <c r="AY24" s="4087"/>
      <c r="AZ24" s="4087"/>
      <c r="BA24" s="4087"/>
      <c r="BB24" s="4087"/>
      <c r="BC24" s="4087"/>
      <c r="BD24" s="4087"/>
      <c r="BE24" s="4087"/>
      <c r="BF24" s="4087"/>
      <c r="BG24" s="4087"/>
      <c r="BH24" s="4087"/>
      <c r="BI24" s="4087"/>
      <c r="BJ24" s="4087"/>
      <c r="BK24" s="4087"/>
      <c r="BL24" s="4087"/>
      <c r="BM24" s="4087"/>
      <c r="BN24" s="4087"/>
      <c r="BO24" s="4087"/>
      <c r="BP24" s="4087"/>
      <c r="BQ24" s="4087"/>
      <c r="BR24" s="4087"/>
      <c r="BS24" s="4087"/>
      <c r="BT24" s="4087"/>
      <c r="BU24" s="4087"/>
      <c r="BV24" s="4087"/>
      <c r="BW24" s="4087"/>
      <c r="BX24" s="4087"/>
      <c r="BY24" s="4087"/>
      <c r="BZ24" s="4087"/>
      <c r="CA24" s="4087"/>
      <c r="CB24" s="4087"/>
      <c r="CC24" s="4087"/>
      <c r="CD24" s="4087"/>
      <c r="CE24" s="4087"/>
      <c r="CF24" s="4087"/>
      <c r="CG24" s="4087"/>
      <c r="CH24" s="4087"/>
      <c r="CI24" s="4087"/>
      <c r="CJ24" s="4087"/>
      <c r="CK24" s="4087"/>
      <c r="CL24" s="4087"/>
      <c r="CM24" s="4087"/>
      <c r="CN24" s="4087"/>
      <c r="CO24" s="4087"/>
      <c r="CP24" s="4087"/>
      <c r="CQ24" s="4087"/>
      <c r="CR24" s="4087"/>
      <c r="CS24" s="4087"/>
      <c r="CT24" s="4087"/>
      <c r="DB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J25" s="4088"/>
      <c r="AK25" s="4088"/>
      <c r="AL25" s="4088"/>
      <c r="AM25" s="4088"/>
      <c r="AN25" s="4088"/>
      <c r="AO25" s="4088"/>
      <c r="AP25" s="4088"/>
      <c r="AQ25" s="4088"/>
      <c r="AR25" s="4088"/>
      <c r="AS25" s="4088"/>
      <c r="AT25" s="4088"/>
      <c r="AU25" s="4088"/>
      <c r="AV25" s="4088"/>
      <c r="AW25" s="4088"/>
      <c r="AX25" s="4088"/>
      <c r="AY25" s="4088"/>
      <c r="AZ25" s="4088"/>
      <c r="BA25" s="4088"/>
      <c r="BB25" s="4088"/>
      <c r="BC25" s="4088"/>
      <c r="BD25" s="4088"/>
      <c r="BE25" s="4088"/>
      <c r="BF25" s="4088"/>
      <c r="BG25" s="4088"/>
      <c r="BH25" s="4088"/>
      <c r="BI25" s="4088"/>
      <c r="BJ25" s="4088"/>
      <c r="BK25" s="4088"/>
      <c r="BL25" s="4088"/>
      <c r="BM25" s="4088"/>
      <c r="BN25" s="4088"/>
      <c r="BO25" s="4088"/>
      <c r="BP25" s="4088"/>
      <c r="BQ25" s="4088"/>
      <c r="BR25" s="4088"/>
      <c r="BS25" s="4088"/>
      <c r="BT25" s="4088"/>
      <c r="BU25" s="4088"/>
      <c r="BV25" s="4088"/>
      <c r="BW25" s="4088"/>
      <c r="BX25" s="4088"/>
      <c r="BY25" s="4088"/>
      <c r="BZ25" s="4088"/>
      <c r="CA25" s="4088"/>
      <c r="CB25" s="4088"/>
      <c r="CC25" s="4088"/>
      <c r="CD25" s="4088"/>
      <c r="CE25" s="4088"/>
      <c r="CF25" s="4088"/>
      <c r="CG25" s="4088"/>
      <c r="CH25" s="4088"/>
      <c r="CI25" s="4088"/>
      <c r="CJ25" s="4088"/>
      <c r="CK25" s="4088"/>
      <c r="CL25" s="4088"/>
      <c r="CM25" s="4088"/>
      <c r="CN25" s="4088"/>
      <c r="CO25" s="4088"/>
      <c r="CP25" s="4088"/>
      <c r="CQ25" s="4088"/>
      <c r="CR25" s="4088"/>
      <c r="CS25" s="4088"/>
      <c r="CT25" s="4088"/>
      <c r="DB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4089"/>
      <c r="AK26" s="4089"/>
      <c r="AL26" s="4089"/>
      <c r="AM26" s="4089"/>
      <c r="AN26" s="4089"/>
      <c r="AO26" s="4089"/>
      <c r="AP26" s="4089"/>
      <c r="AQ26" s="4089"/>
      <c r="AR26" s="4089"/>
      <c r="AS26" s="4089"/>
      <c r="AT26" s="4089"/>
      <c r="AU26" s="4089"/>
      <c r="AV26" s="4089"/>
      <c r="AW26" s="4089"/>
      <c r="AX26" s="4089"/>
      <c r="AY26" s="4089"/>
      <c r="AZ26" s="4089"/>
      <c r="BA26" s="4089"/>
      <c r="BB26" s="4089"/>
      <c r="BC26" s="4089"/>
      <c r="BD26" s="4089"/>
      <c r="BE26" s="4089"/>
      <c r="BF26" s="4089"/>
      <c r="BG26" s="4089"/>
      <c r="BH26" s="4089"/>
      <c r="BI26" s="4089"/>
      <c r="BJ26" s="4089"/>
      <c r="BK26" s="4089"/>
      <c r="BL26" s="4089"/>
      <c r="BM26" s="4089"/>
      <c r="BN26" s="4089"/>
      <c r="BO26" s="4089"/>
      <c r="BP26" s="4089"/>
      <c r="BQ26" s="4089"/>
      <c r="BR26" s="4089"/>
      <c r="BS26" s="4089"/>
      <c r="BT26" s="4089"/>
      <c r="BU26" s="4089"/>
      <c r="BV26" s="4089"/>
      <c r="BW26" s="4089"/>
      <c r="BX26" s="4089"/>
      <c r="BY26" s="4089"/>
      <c r="BZ26" s="4089"/>
      <c r="CA26" s="4089"/>
      <c r="CB26" s="4089"/>
      <c r="CC26" s="4089"/>
      <c r="CD26" s="4089"/>
      <c r="CE26" s="4089"/>
      <c r="CF26" s="4089"/>
      <c r="CG26" s="4089"/>
      <c r="CH26" s="4089"/>
      <c r="CI26" s="4089"/>
      <c r="CJ26" s="4089"/>
      <c r="CK26" s="4089"/>
      <c r="CL26" s="4089"/>
      <c r="CM26" s="4089"/>
      <c r="CN26" s="4089"/>
      <c r="CO26" s="4089"/>
      <c r="CP26" s="4089"/>
      <c r="CQ26" s="4089"/>
      <c r="CR26" s="4089"/>
      <c r="CS26" s="4089"/>
      <c r="CT26" s="4089"/>
      <c r="CU26" s="565"/>
      <c r="DB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4090" t="str">
        <f>IF(TITLE_NAME_OR_PR_CHANGE="",IF(TITLE_NAME_OR_PR="","",TITLE_NAME_OR_PR),TITLE_NAME_OR_PR_CHANGE)</f>
        <v>Министерство по тарифам и ценам Курской области</v>
      </c>
      <c r="AK27" s="4090"/>
      <c r="AL27" s="4090"/>
      <c r="AM27" s="4090"/>
      <c r="AN27" s="4090"/>
      <c r="AO27" s="4090"/>
      <c r="AP27" s="3858"/>
      <c r="AQ27" s="4090" t="str">
        <f>IF(TITLE_NAME_OR_PR_CHANGE="",IF(TITLE_NAME_OR_PR="","",TITLE_NAME_OR_PR),TITLE_NAME_OR_PR_CHANGE)</f>
        <v>Министерство по тарифам и ценам Курской области</v>
      </c>
      <c r="AR27" s="4090"/>
      <c r="AS27" s="4090"/>
      <c r="AT27" s="4090"/>
      <c r="AU27" s="4090"/>
      <c r="AV27" s="4090"/>
      <c r="AW27" s="3858"/>
      <c r="AX27" s="4090" t="str">
        <f>IF(TITLE_NAME_OR_PR_CHANGE="",IF(TITLE_NAME_OR_PR="","",TITLE_NAME_OR_PR),TITLE_NAME_OR_PR_CHANGE)</f>
        <v>Министерство по тарифам и ценам Курской области</v>
      </c>
      <c r="AY27" s="4090"/>
      <c r="AZ27" s="4090"/>
      <c r="BA27" s="4090"/>
      <c r="BB27" s="4090"/>
      <c r="BC27" s="4090"/>
      <c r="BD27" s="3858"/>
      <c r="BE27" s="4090" t="str">
        <f>IF(TITLE_NAME_OR_PR_CHANGE="",IF(TITLE_NAME_OR_PR="","",TITLE_NAME_OR_PR),TITLE_NAME_OR_PR_CHANGE)</f>
        <v>Министерство по тарифам и ценам Курской области</v>
      </c>
      <c r="BF27" s="4090"/>
      <c r="BG27" s="4090"/>
      <c r="BH27" s="4090"/>
      <c r="BI27" s="4090"/>
      <c r="BJ27" s="4090"/>
      <c r="BK27" s="3858"/>
      <c r="BL27" s="4090" t="str">
        <f>IF(TITLE_NAME_OR_PR_CHANGE="",IF(TITLE_NAME_OR_PR="","",TITLE_NAME_OR_PR),TITLE_NAME_OR_PR_CHANGE)</f>
        <v>Министерство по тарифам и ценам Курской области</v>
      </c>
      <c r="BM27" s="4090"/>
      <c r="BN27" s="4090"/>
      <c r="BO27" s="4090"/>
      <c r="BP27" s="4090"/>
      <c r="BQ27" s="4090"/>
      <c r="BR27" s="3858"/>
      <c r="BS27" s="4090" t="str">
        <f>IF(TITLE_NAME_OR_PR_CHANGE="",IF(TITLE_NAME_OR_PR="","",TITLE_NAME_OR_PR),TITLE_NAME_OR_PR_CHANGE)</f>
        <v>Министерство по тарифам и ценам Курской области</v>
      </c>
      <c r="BT27" s="4090"/>
      <c r="BU27" s="4090"/>
      <c r="BV27" s="4090"/>
      <c r="BW27" s="4090"/>
      <c r="BX27" s="4090"/>
      <c r="BY27" s="3858"/>
      <c r="BZ27" s="4090" t="str">
        <f>IF(TITLE_NAME_OR_PR_CHANGE="",IF(TITLE_NAME_OR_PR="","",TITLE_NAME_OR_PR),TITLE_NAME_OR_PR_CHANGE)</f>
        <v>Министерство по тарифам и ценам Курской области</v>
      </c>
      <c r="CA27" s="4090"/>
      <c r="CB27" s="4090"/>
      <c r="CC27" s="4090"/>
      <c r="CD27" s="4090"/>
      <c r="CE27" s="4090"/>
      <c r="CF27" s="3858"/>
      <c r="CG27" s="4090" t="str">
        <f>IF(TITLE_NAME_OR_PR_CHANGE="",IF(TITLE_NAME_OR_PR="","",TITLE_NAME_OR_PR),TITLE_NAME_OR_PR_CHANGE)</f>
        <v>Министерство по тарифам и ценам Курской области</v>
      </c>
      <c r="CH27" s="4090"/>
      <c r="CI27" s="4090"/>
      <c r="CJ27" s="4090"/>
      <c r="CK27" s="4090"/>
      <c r="CL27" s="4090"/>
      <c r="CM27" s="3858"/>
      <c r="CN27" s="4090" t="str">
        <f>IF(TITLE_NAME_OR_PR_CHANGE="",IF(TITLE_NAME_OR_PR="","",TITLE_NAME_OR_PR),TITLE_NAME_OR_PR_CHANGE)</f>
        <v>Министерство по тарифам и ценам Курской области</v>
      </c>
      <c r="CO27" s="4090"/>
      <c r="CP27" s="4090"/>
      <c r="CQ27" s="4090"/>
      <c r="CR27" s="4090"/>
      <c r="CS27" s="4090"/>
      <c r="CT27" s="3858"/>
      <c r="CU27" s="382"/>
      <c r="CV27" s="336"/>
      <c r="CW27" s="424"/>
      <c r="CX27" s="424"/>
      <c r="CY27" s="424"/>
      <c r="CZ27" s="424"/>
      <c r="DA27" s="424"/>
      <c r="DB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4091" t="str">
        <f>IF(TITLE_DATE_PR_CHANGE="",IF(TITLE_DATE_PR="","",TITLE_DATE_PR),TITLE_DATE_PR_CHANGE)</f>
        <v>45645</v>
      </c>
      <c r="AK28" s="4091"/>
      <c r="AL28" s="4091"/>
      <c r="AM28" s="4091"/>
      <c r="AN28" s="4091"/>
      <c r="AO28" s="4091"/>
      <c r="AP28" s="3858"/>
      <c r="AQ28" s="4091" t="str">
        <f>IF(TITLE_DATE_PR_CHANGE="",IF(TITLE_DATE_PR="","",TITLE_DATE_PR),TITLE_DATE_PR_CHANGE)</f>
        <v>45645</v>
      </c>
      <c r="AR28" s="4091"/>
      <c r="AS28" s="4091"/>
      <c r="AT28" s="4091"/>
      <c r="AU28" s="4091"/>
      <c r="AV28" s="4091"/>
      <c r="AW28" s="3858"/>
      <c r="AX28" s="4091" t="str">
        <f>IF(TITLE_DATE_PR_CHANGE="",IF(TITLE_DATE_PR="","",TITLE_DATE_PR),TITLE_DATE_PR_CHANGE)</f>
        <v>45645</v>
      </c>
      <c r="AY28" s="4091"/>
      <c r="AZ28" s="4091"/>
      <c r="BA28" s="4091"/>
      <c r="BB28" s="4091"/>
      <c r="BC28" s="4091"/>
      <c r="BD28" s="3858"/>
      <c r="BE28" s="4091" t="str">
        <f>IF(TITLE_DATE_PR_CHANGE="",IF(TITLE_DATE_PR="","",TITLE_DATE_PR),TITLE_DATE_PR_CHANGE)</f>
        <v>45645</v>
      </c>
      <c r="BF28" s="4091"/>
      <c r="BG28" s="4091"/>
      <c r="BH28" s="4091"/>
      <c r="BI28" s="4091"/>
      <c r="BJ28" s="4091"/>
      <c r="BK28" s="3858"/>
      <c r="BL28" s="4091" t="str">
        <f>IF(TITLE_DATE_PR_CHANGE="",IF(TITLE_DATE_PR="","",TITLE_DATE_PR),TITLE_DATE_PR_CHANGE)</f>
        <v>45645</v>
      </c>
      <c r="BM28" s="4091"/>
      <c r="BN28" s="4091"/>
      <c r="BO28" s="4091"/>
      <c r="BP28" s="4091"/>
      <c r="BQ28" s="4091"/>
      <c r="BR28" s="3858"/>
      <c r="BS28" s="4091" t="str">
        <f>IF(TITLE_DATE_PR_CHANGE="",IF(TITLE_DATE_PR="","",TITLE_DATE_PR),TITLE_DATE_PR_CHANGE)</f>
        <v>45645</v>
      </c>
      <c r="BT28" s="4091"/>
      <c r="BU28" s="4091"/>
      <c r="BV28" s="4091"/>
      <c r="BW28" s="4091"/>
      <c r="BX28" s="4091"/>
      <c r="BY28" s="3858"/>
      <c r="BZ28" s="4091" t="str">
        <f>IF(TITLE_DATE_PR_CHANGE="",IF(TITLE_DATE_PR="","",TITLE_DATE_PR),TITLE_DATE_PR_CHANGE)</f>
        <v>45645</v>
      </c>
      <c r="CA28" s="4091"/>
      <c r="CB28" s="4091"/>
      <c r="CC28" s="4091"/>
      <c r="CD28" s="4091"/>
      <c r="CE28" s="4091"/>
      <c r="CF28" s="3858"/>
      <c r="CG28" s="4091" t="str">
        <f>IF(TITLE_DATE_PR_CHANGE="",IF(TITLE_DATE_PR="","",TITLE_DATE_PR),TITLE_DATE_PR_CHANGE)</f>
        <v>45645</v>
      </c>
      <c r="CH28" s="4091"/>
      <c r="CI28" s="4091"/>
      <c r="CJ28" s="4091"/>
      <c r="CK28" s="4091"/>
      <c r="CL28" s="4091"/>
      <c r="CM28" s="3858"/>
      <c r="CN28" s="4091" t="str">
        <f>IF(TITLE_DATE_PR_CHANGE="",IF(TITLE_DATE_PR="","",TITLE_DATE_PR),TITLE_DATE_PR_CHANGE)</f>
        <v>45645</v>
      </c>
      <c r="CO28" s="4091"/>
      <c r="CP28" s="4091"/>
      <c r="CQ28" s="4091"/>
      <c r="CR28" s="4091"/>
      <c r="CS28" s="4091"/>
      <c r="CT28" s="3858"/>
      <c r="CU28" s="382"/>
      <c r="CV28" s="336"/>
      <c r="CW28" s="424"/>
      <c r="CX28" s="424"/>
      <c r="CY28" s="424"/>
      <c r="CZ28" s="424"/>
      <c r="DA28" s="424"/>
      <c r="DB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4090" t="str">
        <f>IF(TITLE_NUMBER_PR_CHANGE="",IF(TITLE_NUMBER_PR="","",TITLE_NUMBER_PR),TITLE_NUMBER_PR_CHANGE)</f>
        <v>208-вод</v>
      </c>
      <c r="AK29" s="4090"/>
      <c r="AL29" s="4090"/>
      <c r="AM29" s="4090"/>
      <c r="AN29" s="4090"/>
      <c r="AO29" s="4090"/>
      <c r="AP29" s="3858"/>
      <c r="AQ29" s="4090" t="str">
        <f>IF(TITLE_NUMBER_PR_CHANGE="",IF(TITLE_NUMBER_PR="","",TITLE_NUMBER_PR),TITLE_NUMBER_PR_CHANGE)</f>
        <v>208-вод</v>
      </c>
      <c r="AR29" s="4090"/>
      <c r="AS29" s="4090"/>
      <c r="AT29" s="4090"/>
      <c r="AU29" s="4090"/>
      <c r="AV29" s="4090"/>
      <c r="AW29" s="3858"/>
      <c r="AX29" s="4090" t="str">
        <f>IF(TITLE_NUMBER_PR_CHANGE="",IF(TITLE_NUMBER_PR="","",TITLE_NUMBER_PR),TITLE_NUMBER_PR_CHANGE)</f>
        <v>208-вод</v>
      </c>
      <c r="AY29" s="4090"/>
      <c r="AZ29" s="4090"/>
      <c r="BA29" s="4090"/>
      <c r="BB29" s="4090"/>
      <c r="BC29" s="4090"/>
      <c r="BD29" s="3858"/>
      <c r="BE29" s="4090" t="str">
        <f>IF(TITLE_NUMBER_PR_CHANGE="",IF(TITLE_NUMBER_PR="","",TITLE_NUMBER_PR),TITLE_NUMBER_PR_CHANGE)</f>
        <v>208-вод</v>
      </c>
      <c r="BF29" s="4090"/>
      <c r="BG29" s="4090"/>
      <c r="BH29" s="4090"/>
      <c r="BI29" s="4090"/>
      <c r="BJ29" s="4090"/>
      <c r="BK29" s="3858"/>
      <c r="BL29" s="4090" t="str">
        <f>IF(TITLE_NUMBER_PR_CHANGE="",IF(TITLE_NUMBER_PR="","",TITLE_NUMBER_PR),TITLE_NUMBER_PR_CHANGE)</f>
        <v>208-вод</v>
      </c>
      <c r="BM29" s="4090"/>
      <c r="BN29" s="4090"/>
      <c r="BO29" s="4090"/>
      <c r="BP29" s="4090"/>
      <c r="BQ29" s="4090"/>
      <c r="BR29" s="3858"/>
      <c r="BS29" s="4090" t="str">
        <f>IF(TITLE_NUMBER_PR_CHANGE="",IF(TITLE_NUMBER_PR="","",TITLE_NUMBER_PR),TITLE_NUMBER_PR_CHANGE)</f>
        <v>208-вод</v>
      </c>
      <c r="BT29" s="4090"/>
      <c r="BU29" s="4090"/>
      <c r="BV29" s="4090"/>
      <c r="BW29" s="4090"/>
      <c r="BX29" s="4090"/>
      <c r="BY29" s="3858"/>
      <c r="BZ29" s="4090" t="str">
        <f>IF(TITLE_NUMBER_PR_CHANGE="",IF(TITLE_NUMBER_PR="","",TITLE_NUMBER_PR),TITLE_NUMBER_PR_CHANGE)</f>
        <v>208-вод</v>
      </c>
      <c r="CA29" s="4090"/>
      <c r="CB29" s="4090"/>
      <c r="CC29" s="4090"/>
      <c r="CD29" s="4090"/>
      <c r="CE29" s="4090"/>
      <c r="CF29" s="3858"/>
      <c r="CG29" s="4090" t="str">
        <f>IF(TITLE_NUMBER_PR_CHANGE="",IF(TITLE_NUMBER_PR="","",TITLE_NUMBER_PR),TITLE_NUMBER_PR_CHANGE)</f>
        <v>208-вод</v>
      </c>
      <c r="CH29" s="4090"/>
      <c r="CI29" s="4090"/>
      <c r="CJ29" s="4090"/>
      <c r="CK29" s="4090"/>
      <c r="CL29" s="4090"/>
      <c r="CM29" s="3858"/>
      <c r="CN29" s="4090" t="str">
        <f>IF(TITLE_NUMBER_PR_CHANGE="",IF(TITLE_NUMBER_PR="","",TITLE_NUMBER_PR),TITLE_NUMBER_PR_CHANGE)</f>
        <v>208-вод</v>
      </c>
      <c r="CO29" s="4090"/>
      <c r="CP29" s="4090"/>
      <c r="CQ29" s="4090"/>
      <c r="CR29" s="4090"/>
      <c r="CS29" s="4090"/>
      <c r="CT29" s="3858"/>
      <c r="CU29" s="382"/>
      <c r="CV29" s="336"/>
      <c r="CW29" s="424"/>
      <c r="CX29" s="424"/>
      <c r="CY29" s="424"/>
      <c r="CZ29" s="424"/>
      <c r="DA29" s="424"/>
      <c r="DB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4090" t="str">
        <f>IF(TITLE_IST_PUB_CHANGE="",IF(TITLE_IST_PUB="","",TITLE_IST_PUB),TITLE_IST_PUB_CHANGE)</f>
        <v>Газета "Курская правда" №155 от 26.12.2024 г.</v>
      </c>
      <c r="AK30" s="4090"/>
      <c r="AL30" s="4090"/>
      <c r="AM30" s="4090"/>
      <c r="AN30" s="4090"/>
      <c r="AO30" s="4090"/>
      <c r="AP30" s="3858"/>
      <c r="AQ30" s="4090" t="str">
        <f>IF(TITLE_IST_PUB_CHANGE="",IF(TITLE_IST_PUB="","",TITLE_IST_PUB),TITLE_IST_PUB_CHANGE)</f>
        <v>Газета "Курская правда" №155 от 26.12.2024 г.</v>
      </c>
      <c r="AR30" s="4090"/>
      <c r="AS30" s="4090"/>
      <c r="AT30" s="4090"/>
      <c r="AU30" s="4090"/>
      <c r="AV30" s="4090"/>
      <c r="AW30" s="3858"/>
      <c r="AX30" s="4090" t="str">
        <f>IF(TITLE_IST_PUB_CHANGE="",IF(TITLE_IST_PUB="","",TITLE_IST_PUB),TITLE_IST_PUB_CHANGE)</f>
        <v>Газета "Курская правда" №155 от 26.12.2024 г.</v>
      </c>
      <c r="AY30" s="4090"/>
      <c r="AZ30" s="4090"/>
      <c r="BA30" s="4090"/>
      <c r="BB30" s="4090"/>
      <c r="BC30" s="4090"/>
      <c r="BD30" s="3858"/>
      <c r="BE30" s="4090" t="str">
        <f>IF(TITLE_IST_PUB_CHANGE="",IF(TITLE_IST_PUB="","",TITLE_IST_PUB),TITLE_IST_PUB_CHANGE)</f>
        <v>Газета "Курская правда" №155 от 26.12.2024 г.</v>
      </c>
      <c r="BF30" s="4090"/>
      <c r="BG30" s="4090"/>
      <c r="BH30" s="4090"/>
      <c r="BI30" s="4090"/>
      <c r="BJ30" s="4090"/>
      <c r="BK30" s="3858"/>
      <c r="BL30" s="4090" t="str">
        <f>IF(TITLE_IST_PUB_CHANGE="",IF(TITLE_IST_PUB="","",TITLE_IST_PUB),TITLE_IST_PUB_CHANGE)</f>
        <v>Газета "Курская правда" №155 от 26.12.2024 г.</v>
      </c>
      <c r="BM30" s="4090"/>
      <c r="BN30" s="4090"/>
      <c r="BO30" s="4090"/>
      <c r="BP30" s="4090"/>
      <c r="BQ30" s="4090"/>
      <c r="BR30" s="3858"/>
      <c r="BS30" s="4090" t="str">
        <f>IF(TITLE_IST_PUB_CHANGE="",IF(TITLE_IST_PUB="","",TITLE_IST_PUB),TITLE_IST_PUB_CHANGE)</f>
        <v>Газета "Курская правда" №155 от 26.12.2024 г.</v>
      </c>
      <c r="BT30" s="4090"/>
      <c r="BU30" s="4090"/>
      <c r="BV30" s="4090"/>
      <c r="BW30" s="4090"/>
      <c r="BX30" s="4090"/>
      <c r="BY30" s="3858"/>
      <c r="BZ30" s="4090" t="str">
        <f>IF(TITLE_IST_PUB_CHANGE="",IF(TITLE_IST_PUB="","",TITLE_IST_PUB),TITLE_IST_PUB_CHANGE)</f>
        <v>Газета "Курская правда" №155 от 26.12.2024 г.</v>
      </c>
      <c r="CA30" s="4090"/>
      <c r="CB30" s="4090"/>
      <c r="CC30" s="4090"/>
      <c r="CD30" s="4090"/>
      <c r="CE30" s="4090"/>
      <c r="CF30" s="3858"/>
      <c r="CG30" s="4090" t="str">
        <f>IF(TITLE_IST_PUB_CHANGE="",IF(TITLE_IST_PUB="","",TITLE_IST_PUB),TITLE_IST_PUB_CHANGE)</f>
        <v>Газета "Курская правда" №155 от 26.12.2024 г.</v>
      </c>
      <c r="CH30" s="4090"/>
      <c r="CI30" s="4090"/>
      <c r="CJ30" s="4090"/>
      <c r="CK30" s="4090"/>
      <c r="CL30" s="4090"/>
      <c r="CM30" s="3858"/>
      <c r="CN30" s="4090" t="str">
        <f>IF(TITLE_IST_PUB_CHANGE="",IF(TITLE_IST_PUB="","",TITLE_IST_PUB),TITLE_IST_PUB_CHANGE)</f>
        <v>Газета "Курская правда" №155 от 26.12.2024 г.</v>
      </c>
      <c r="CO30" s="4090"/>
      <c r="CP30" s="4090"/>
      <c r="CQ30" s="4090"/>
      <c r="CR30" s="4090"/>
      <c r="CS30" s="4090"/>
      <c r="CT30" s="3858"/>
      <c r="CU30" s="382"/>
      <c r="CV30" s="336"/>
      <c r="CW30" s="424"/>
      <c r="CX30" s="424"/>
      <c r="CY30" s="424"/>
      <c r="CZ30" s="424"/>
      <c r="DA30" s="424"/>
      <c r="DB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4089"/>
      <c r="AK31" s="4089"/>
      <c r="AL31" s="4089"/>
      <c r="AM31" s="4089"/>
      <c r="AN31" s="4089"/>
      <c r="AO31" s="4089"/>
      <c r="AP31" s="4089"/>
      <c r="AQ31" s="4089"/>
      <c r="AR31" s="4089"/>
      <c r="AS31" s="4089"/>
      <c r="AT31" s="4089"/>
      <c r="AU31" s="4089"/>
      <c r="AV31" s="4089"/>
      <c r="AW31" s="4089"/>
      <c r="AX31" s="4089"/>
      <c r="AY31" s="4089"/>
      <c r="AZ31" s="4089"/>
      <c r="BA31" s="4089"/>
      <c r="BB31" s="4089"/>
      <c r="BC31" s="4089"/>
      <c r="BD31" s="4089"/>
      <c r="BE31" s="4089"/>
      <c r="BF31" s="4089"/>
      <c r="BG31" s="4089"/>
      <c r="BH31" s="4089"/>
      <c r="BI31" s="4089"/>
      <c r="BJ31" s="4089"/>
      <c r="BK31" s="4089"/>
      <c r="BL31" s="4089"/>
      <c r="BM31" s="4089"/>
      <c r="BN31" s="4089"/>
      <c r="BO31" s="4089"/>
      <c r="BP31" s="4089"/>
      <c r="BQ31" s="4089"/>
      <c r="BR31" s="4089"/>
      <c r="BS31" s="4089"/>
      <c r="BT31" s="4089"/>
      <c r="BU31" s="4089"/>
      <c r="BV31" s="4089"/>
      <c r="BW31" s="4089"/>
      <c r="BX31" s="4089"/>
      <c r="BY31" s="4089"/>
      <c r="BZ31" s="4089"/>
      <c r="CA31" s="4089"/>
      <c r="CB31" s="4089"/>
      <c r="CC31" s="4089"/>
      <c r="CD31" s="4089"/>
      <c r="CE31" s="4089"/>
      <c r="CF31" s="4089"/>
      <c r="CG31" s="4089"/>
      <c r="CH31" s="4089"/>
      <c r="CI31" s="4089"/>
      <c r="CJ31" s="4089"/>
      <c r="CK31" s="4089"/>
      <c r="CL31" s="4089"/>
      <c r="CM31" s="4089"/>
      <c r="CN31" s="4089"/>
      <c r="CO31" s="4089"/>
      <c r="CP31" s="4089"/>
      <c r="CQ31" s="4089"/>
      <c r="CR31" s="4089"/>
      <c r="CS31" s="4089"/>
      <c r="CT31" s="4089"/>
      <c r="CU31" s="565"/>
      <c r="DB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4091" t="str">
        <f>IF(TITLE_DATE_PR_CHANGE="",IF(TITLE_DATE_PR="","",TITLE_DATE_PR),TITLE_DATE_PR_CHANGE)</f>
        <v>45645</v>
      </c>
      <c r="AK32" s="4091"/>
      <c r="AL32" s="4091"/>
      <c r="AM32" s="4091"/>
      <c r="AN32" s="4091"/>
      <c r="AO32" s="4091"/>
      <c r="AP32" s="3858"/>
      <c r="AQ32" s="4091" t="str">
        <f>IF(TITLE_DATE_PR_CHANGE="",IF(TITLE_DATE_PR="","",TITLE_DATE_PR),TITLE_DATE_PR_CHANGE)</f>
        <v>45645</v>
      </c>
      <c r="AR32" s="4091"/>
      <c r="AS32" s="4091"/>
      <c r="AT32" s="4091"/>
      <c r="AU32" s="4091"/>
      <c r="AV32" s="4091"/>
      <c r="AW32" s="3858"/>
      <c r="AX32" s="4091" t="str">
        <f>IF(TITLE_DATE_PR_CHANGE="",IF(TITLE_DATE_PR="","",TITLE_DATE_PR),TITLE_DATE_PR_CHANGE)</f>
        <v>45645</v>
      </c>
      <c r="AY32" s="4091"/>
      <c r="AZ32" s="4091"/>
      <c r="BA32" s="4091"/>
      <c r="BB32" s="4091"/>
      <c r="BC32" s="4091"/>
      <c r="BD32" s="3858"/>
      <c r="BE32" s="4091" t="str">
        <f>IF(TITLE_DATE_PR_CHANGE="",IF(TITLE_DATE_PR="","",TITLE_DATE_PR),TITLE_DATE_PR_CHANGE)</f>
        <v>45645</v>
      </c>
      <c r="BF32" s="4091"/>
      <c r="BG32" s="4091"/>
      <c r="BH32" s="4091"/>
      <c r="BI32" s="4091"/>
      <c r="BJ32" s="4091"/>
      <c r="BK32" s="3858"/>
      <c r="BL32" s="4091" t="str">
        <f>IF(TITLE_DATE_PR_CHANGE="",IF(TITLE_DATE_PR="","",TITLE_DATE_PR),TITLE_DATE_PR_CHANGE)</f>
        <v>45645</v>
      </c>
      <c r="BM32" s="4091"/>
      <c r="BN32" s="4091"/>
      <c r="BO32" s="4091"/>
      <c r="BP32" s="4091"/>
      <c r="BQ32" s="4091"/>
      <c r="BR32" s="3858"/>
      <c r="BS32" s="4091" t="str">
        <f>IF(TITLE_DATE_PR_CHANGE="",IF(TITLE_DATE_PR="","",TITLE_DATE_PR),TITLE_DATE_PR_CHANGE)</f>
        <v>45645</v>
      </c>
      <c r="BT32" s="4091"/>
      <c r="BU32" s="4091"/>
      <c r="BV32" s="4091"/>
      <c r="BW32" s="4091"/>
      <c r="BX32" s="4091"/>
      <c r="BY32" s="3858"/>
      <c r="BZ32" s="4091" t="str">
        <f>IF(TITLE_DATE_PR_CHANGE="",IF(TITLE_DATE_PR="","",TITLE_DATE_PR),TITLE_DATE_PR_CHANGE)</f>
        <v>45645</v>
      </c>
      <c r="CA32" s="4091"/>
      <c r="CB32" s="4091"/>
      <c r="CC32" s="4091"/>
      <c r="CD32" s="4091"/>
      <c r="CE32" s="4091"/>
      <c r="CF32" s="3858"/>
      <c r="CG32" s="4091" t="str">
        <f>IF(TITLE_DATE_PR_CHANGE="",IF(TITLE_DATE_PR="","",TITLE_DATE_PR),TITLE_DATE_PR_CHANGE)</f>
        <v>45645</v>
      </c>
      <c r="CH32" s="4091"/>
      <c r="CI32" s="4091"/>
      <c r="CJ32" s="4091"/>
      <c r="CK32" s="4091"/>
      <c r="CL32" s="4091"/>
      <c r="CM32" s="3858"/>
      <c r="CN32" s="4091" t="str">
        <f>IF(TITLE_DATE_PR_CHANGE="",IF(TITLE_DATE_PR="","",TITLE_DATE_PR),TITLE_DATE_PR_CHANGE)</f>
        <v>45645</v>
      </c>
      <c r="CO32" s="4091"/>
      <c r="CP32" s="4091"/>
      <c r="CQ32" s="4091"/>
      <c r="CR32" s="4091"/>
      <c r="CS32" s="4091"/>
      <c r="CT32" s="3858"/>
      <c r="CU32" s="382"/>
      <c r="CV32" s="336"/>
      <c r="CW32" s="424"/>
      <c r="CX32" s="424"/>
      <c r="CY32" s="424"/>
      <c r="CZ32" s="424"/>
      <c r="DA32" s="424"/>
      <c r="DB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4090" t="str">
        <f>IF(TITLE_NUMBER_PR_CHANGE="",IF(TITLE_NUMBER_PR="","",TITLE_NUMBER_PR),TITLE_NUMBER_PR_CHANGE)</f>
        <v>208-вод</v>
      </c>
      <c r="AK33" s="4090"/>
      <c r="AL33" s="4090"/>
      <c r="AM33" s="4090"/>
      <c r="AN33" s="4090"/>
      <c r="AO33" s="4090"/>
      <c r="AP33" s="3858"/>
      <c r="AQ33" s="4090" t="str">
        <f>IF(TITLE_NUMBER_PR_CHANGE="",IF(TITLE_NUMBER_PR="","",TITLE_NUMBER_PR),TITLE_NUMBER_PR_CHANGE)</f>
        <v>208-вод</v>
      </c>
      <c r="AR33" s="4090"/>
      <c r="AS33" s="4090"/>
      <c r="AT33" s="4090"/>
      <c r="AU33" s="4090"/>
      <c r="AV33" s="4090"/>
      <c r="AW33" s="3858"/>
      <c r="AX33" s="4090" t="str">
        <f>IF(TITLE_NUMBER_PR_CHANGE="",IF(TITLE_NUMBER_PR="","",TITLE_NUMBER_PR),TITLE_NUMBER_PR_CHANGE)</f>
        <v>208-вод</v>
      </c>
      <c r="AY33" s="4090"/>
      <c r="AZ33" s="4090"/>
      <c r="BA33" s="4090"/>
      <c r="BB33" s="4090"/>
      <c r="BC33" s="4090"/>
      <c r="BD33" s="3858"/>
      <c r="BE33" s="4090" t="str">
        <f>IF(TITLE_NUMBER_PR_CHANGE="",IF(TITLE_NUMBER_PR="","",TITLE_NUMBER_PR),TITLE_NUMBER_PR_CHANGE)</f>
        <v>208-вод</v>
      </c>
      <c r="BF33" s="4090"/>
      <c r="BG33" s="4090"/>
      <c r="BH33" s="4090"/>
      <c r="BI33" s="4090"/>
      <c r="BJ33" s="4090"/>
      <c r="BK33" s="3858"/>
      <c r="BL33" s="4090" t="str">
        <f>IF(TITLE_NUMBER_PR_CHANGE="",IF(TITLE_NUMBER_PR="","",TITLE_NUMBER_PR),TITLE_NUMBER_PR_CHANGE)</f>
        <v>208-вод</v>
      </c>
      <c r="BM33" s="4090"/>
      <c r="BN33" s="4090"/>
      <c r="BO33" s="4090"/>
      <c r="BP33" s="4090"/>
      <c r="BQ33" s="4090"/>
      <c r="BR33" s="3858"/>
      <c r="BS33" s="4090" t="str">
        <f>IF(TITLE_NUMBER_PR_CHANGE="",IF(TITLE_NUMBER_PR="","",TITLE_NUMBER_PR),TITLE_NUMBER_PR_CHANGE)</f>
        <v>208-вод</v>
      </c>
      <c r="BT33" s="4090"/>
      <c r="BU33" s="4090"/>
      <c r="BV33" s="4090"/>
      <c r="BW33" s="4090"/>
      <c r="BX33" s="4090"/>
      <c r="BY33" s="3858"/>
      <c r="BZ33" s="4090" t="str">
        <f>IF(TITLE_NUMBER_PR_CHANGE="",IF(TITLE_NUMBER_PR="","",TITLE_NUMBER_PR),TITLE_NUMBER_PR_CHANGE)</f>
        <v>208-вод</v>
      </c>
      <c r="CA33" s="4090"/>
      <c r="CB33" s="4090"/>
      <c r="CC33" s="4090"/>
      <c r="CD33" s="4090"/>
      <c r="CE33" s="4090"/>
      <c r="CF33" s="3858"/>
      <c r="CG33" s="4090" t="str">
        <f>IF(TITLE_NUMBER_PR_CHANGE="",IF(TITLE_NUMBER_PR="","",TITLE_NUMBER_PR),TITLE_NUMBER_PR_CHANGE)</f>
        <v>208-вод</v>
      </c>
      <c r="CH33" s="4090"/>
      <c r="CI33" s="4090"/>
      <c r="CJ33" s="4090"/>
      <c r="CK33" s="4090"/>
      <c r="CL33" s="4090"/>
      <c r="CM33" s="3858"/>
      <c r="CN33" s="4090" t="str">
        <f>IF(TITLE_NUMBER_PR_CHANGE="",IF(TITLE_NUMBER_PR="","",TITLE_NUMBER_PR),TITLE_NUMBER_PR_CHANGE)</f>
        <v>208-вод</v>
      </c>
      <c r="CO33" s="4090"/>
      <c r="CP33" s="4090"/>
      <c r="CQ33" s="4090"/>
      <c r="CR33" s="4090"/>
      <c r="CS33" s="4090"/>
      <c r="CT33" s="3858"/>
      <c r="CU33" s="382"/>
      <c r="CV33" s="336"/>
      <c r="CW33" s="424"/>
      <c r="CX33" s="424"/>
      <c r="CY33" s="424"/>
      <c r="CZ33" s="424"/>
      <c r="DA33" s="424"/>
      <c r="DB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411"/>
      <c r="V34" s="382"/>
      <c r="W34" s="382"/>
      <c r="X34" s="382"/>
      <c r="Y34" s="382"/>
      <c r="Z34" s="382"/>
      <c r="AA34" s="382"/>
      <c r="AB34" s="334" t="s">
        <v>557</v>
      </c>
      <c r="AC34" s="382"/>
      <c r="AD34" s="382"/>
      <c r="AE34" s="382"/>
      <c r="AF34" s="382"/>
      <c r="AG34" s="382"/>
      <c r="AH34" s="382"/>
      <c r="AI34" s="334" t="s">
        <v>557</v>
      </c>
      <c r="AJ34" s="3858"/>
      <c r="AK34" s="3858"/>
      <c r="AL34" s="3858"/>
      <c r="AM34" s="3858"/>
      <c r="AN34" s="3858"/>
      <c r="AO34" s="3858"/>
      <c r="AP34" s="4093" t="s">
        <v>557</v>
      </c>
      <c r="AQ34" s="3858"/>
      <c r="AR34" s="3858"/>
      <c r="AS34" s="3858"/>
      <c r="AT34" s="3858"/>
      <c r="AU34" s="3858"/>
      <c r="AV34" s="3858"/>
      <c r="AW34" s="4093" t="s">
        <v>557</v>
      </c>
      <c r="AX34" s="3858"/>
      <c r="AY34" s="3858"/>
      <c r="AZ34" s="3858"/>
      <c r="BA34" s="3858"/>
      <c r="BB34" s="3858"/>
      <c r="BC34" s="3858"/>
      <c r="BD34" s="4093" t="s">
        <v>557</v>
      </c>
      <c r="BE34" s="3858"/>
      <c r="BF34" s="3858"/>
      <c r="BG34" s="3858"/>
      <c r="BH34" s="3858"/>
      <c r="BI34" s="3858"/>
      <c r="BJ34" s="3858"/>
      <c r="BK34" s="4093" t="s">
        <v>557</v>
      </c>
      <c r="BL34" s="3858"/>
      <c r="BM34" s="3858"/>
      <c r="BN34" s="3858"/>
      <c r="BO34" s="3858"/>
      <c r="BP34" s="3858"/>
      <c r="BQ34" s="3858"/>
      <c r="BR34" s="4093" t="s">
        <v>557</v>
      </c>
      <c r="BS34" s="3858"/>
      <c r="BT34" s="3858"/>
      <c r="BU34" s="3858"/>
      <c r="BV34" s="3858"/>
      <c r="BW34" s="3858"/>
      <c r="BX34" s="3858"/>
      <c r="BY34" s="4093" t="s">
        <v>557</v>
      </c>
      <c r="BZ34" s="3858"/>
      <c r="CA34" s="3858"/>
      <c r="CB34" s="3858"/>
      <c r="CC34" s="3858"/>
      <c r="CD34" s="3858"/>
      <c r="CE34" s="3858"/>
      <c r="CF34" s="4093" t="s">
        <v>557</v>
      </c>
      <c r="CG34" s="3858"/>
      <c r="CH34" s="3858"/>
      <c r="CI34" s="3858"/>
      <c r="CJ34" s="3858"/>
      <c r="CK34" s="3858"/>
      <c r="CL34" s="3858"/>
      <c r="CM34" s="4093" t="s">
        <v>557</v>
      </c>
      <c r="CN34" s="3858"/>
      <c r="CO34" s="3858"/>
      <c r="CP34" s="3858"/>
      <c r="CQ34" s="3858"/>
      <c r="CR34" s="3858"/>
      <c r="CS34" s="3858"/>
      <c r="CT34" s="4093" t="s">
        <v>557</v>
      </c>
      <c r="CW34" s="424"/>
      <c r="CX34" s="424"/>
      <c r="CY34" s="424"/>
      <c r="CZ34" s="424"/>
      <c r="DA34" s="424"/>
      <c r="DB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J35" s="4094" t="s">
        <v>109</v>
      </c>
      <c r="AK35" s="4094"/>
      <c r="AL35" s="4094"/>
      <c r="AM35" s="4094"/>
      <c r="AN35" s="4094"/>
      <c r="AO35" s="4094"/>
      <c r="AP35" s="4094"/>
      <c r="AQ35" s="4094" t="s">
        <v>109</v>
      </c>
      <c r="AR35" s="4094"/>
      <c r="AS35" s="4094"/>
      <c r="AT35" s="4094"/>
      <c r="AU35" s="4094"/>
      <c r="AV35" s="4094"/>
      <c r="AW35" s="4094"/>
      <c r="AX35" s="4094" t="s">
        <v>109</v>
      </c>
      <c r="AY35" s="4094"/>
      <c r="AZ35" s="4094"/>
      <c r="BA35" s="4094"/>
      <c r="BB35" s="4094"/>
      <c r="BC35" s="4094"/>
      <c r="BD35" s="4094"/>
      <c r="BE35" s="4094" t="s">
        <v>109</v>
      </c>
      <c r="BF35" s="4094"/>
      <c r="BG35" s="4094"/>
      <c r="BH35" s="4094"/>
      <c r="BI35" s="4094"/>
      <c r="BJ35" s="4094"/>
      <c r="BK35" s="4094"/>
      <c r="BL35" s="4094" t="s">
        <v>109</v>
      </c>
      <c r="BM35" s="4094"/>
      <c r="BN35" s="4094"/>
      <c r="BO35" s="4094"/>
      <c r="BP35" s="4094"/>
      <c r="BQ35" s="4094"/>
      <c r="BR35" s="4094"/>
      <c r="BS35" s="4094" t="s">
        <v>109</v>
      </c>
      <c r="BT35" s="4094"/>
      <c r="BU35" s="4094"/>
      <c r="BV35" s="4094"/>
      <c r="BW35" s="4094"/>
      <c r="BX35" s="4094"/>
      <c r="BY35" s="4094"/>
      <c r="BZ35" s="4094" t="s">
        <v>109</v>
      </c>
      <c r="CA35" s="4094"/>
      <c r="CB35" s="4094"/>
      <c r="CC35" s="4094"/>
      <c r="CD35" s="4094"/>
      <c r="CE35" s="4094"/>
      <c r="CF35" s="4094"/>
      <c r="CG35" s="4094" t="s">
        <v>109</v>
      </c>
      <c r="CH35" s="4094"/>
      <c r="CI35" s="4094"/>
      <c r="CJ35" s="4094"/>
      <c r="CK35" s="4094"/>
      <c r="CL35" s="4094"/>
      <c r="CM35" s="4094"/>
      <c r="CN35" s="4094" t="s">
        <v>109</v>
      </c>
      <c r="CO35" s="4094"/>
      <c r="CP35" s="4094"/>
      <c r="CQ35" s="4094"/>
      <c r="CR35" s="4094"/>
      <c r="CS35" s="4094"/>
      <c r="CT35" s="4094"/>
      <c r="DB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4095" t="s">
        <v>432</v>
      </c>
      <c r="AK36" s="4095"/>
      <c r="AL36" s="4095"/>
      <c r="AM36" s="4095"/>
      <c r="AN36" s="4095"/>
      <c r="AO36" s="4095"/>
      <c r="AP36" s="4095"/>
      <c r="AQ36" s="4095" t="s">
        <v>432</v>
      </c>
      <c r="AR36" s="4095"/>
      <c r="AS36" s="4095"/>
      <c r="AT36" s="4095"/>
      <c r="AU36" s="4095"/>
      <c r="AV36" s="4095"/>
      <c r="AW36" s="4095"/>
      <c r="AX36" s="4095" t="s">
        <v>432</v>
      </c>
      <c r="AY36" s="4095"/>
      <c r="AZ36" s="4095"/>
      <c r="BA36" s="4095"/>
      <c r="BB36" s="4095"/>
      <c r="BC36" s="4095"/>
      <c r="BD36" s="4095"/>
      <c r="BE36" s="4095" t="s">
        <v>432</v>
      </c>
      <c r="BF36" s="4095"/>
      <c r="BG36" s="4095"/>
      <c r="BH36" s="4095"/>
      <c r="BI36" s="4095"/>
      <c r="BJ36" s="4095"/>
      <c r="BK36" s="4095"/>
      <c r="BL36" s="4095" t="s">
        <v>432</v>
      </c>
      <c r="BM36" s="4095"/>
      <c r="BN36" s="4095"/>
      <c r="BO36" s="4095"/>
      <c r="BP36" s="4095"/>
      <c r="BQ36" s="4095"/>
      <c r="BR36" s="4095"/>
      <c r="BS36" s="4095" t="s">
        <v>432</v>
      </c>
      <c r="BT36" s="4095"/>
      <c r="BU36" s="4095"/>
      <c r="BV36" s="4095"/>
      <c r="BW36" s="4095"/>
      <c r="BX36" s="4095"/>
      <c r="BY36" s="4095"/>
      <c r="BZ36" s="4095" t="s">
        <v>432</v>
      </c>
      <c r="CA36" s="4095"/>
      <c r="CB36" s="4095"/>
      <c r="CC36" s="4095"/>
      <c r="CD36" s="4095"/>
      <c r="CE36" s="4095"/>
      <c r="CF36" s="4095"/>
      <c r="CG36" s="4095" t="s">
        <v>432</v>
      </c>
      <c r="CH36" s="4095"/>
      <c r="CI36" s="4095"/>
      <c r="CJ36" s="4095"/>
      <c r="CK36" s="4095"/>
      <c r="CL36" s="4095"/>
      <c r="CM36" s="4095"/>
      <c r="CN36" s="4095" t="s">
        <v>432</v>
      </c>
      <c r="CO36" s="4095"/>
      <c r="CP36" s="4095"/>
      <c r="CQ36" s="4095"/>
      <c r="CR36" s="4095"/>
      <c r="CS36" s="4095"/>
      <c r="CT36" s="4095"/>
      <c r="CU36" s="2183"/>
      <c r="CV36" s="2183"/>
      <c r="DB36" s="1211"/>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4096" t="s">
        <v>559</v>
      </c>
      <c r="AK37" s="4097"/>
      <c r="AL37" s="4097"/>
      <c r="AM37" s="4097"/>
      <c r="AN37" s="4097"/>
      <c r="AO37" s="4098"/>
      <c r="AP37" s="4099" t="s">
        <v>560</v>
      </c>
      <c r="AQ37" s="4096" t="s">
        <v>559</v>
      </c>
      <c r="AR37" s="4097"/>
      <c r="AS37" s="4097"/>
      <c r="AT37" s="4097"/>
      <c r="AU37" s="4097"/>
      <c r="AV37" s="4098"/>
      <c r="AW37" s="4099" t="s">
        <v>560</v>
      </c>
      <c r="AX37" s="4096" t="s">
        <v>559</v>
      </c>
      <c r="AY37" s="4097"/>
      <c r="AZ37" s="4097"/>
      <c r="BA37" s="4097"/>
      <c r="BB37" s="4097"/>
      <c r="BC37" s="4098"/>
      <c r="BD37" s="4099" t="s">
        <v>560</v>
      </c>
      <c r="BE37" s="4096" t="s">
        <v>559</v>
      </c>
      <c r="BF37" s="4097"/>
      <c r="BG37" s="4097"/>
      <c r="BH37" s="4097"/>
      <c r="BI37" s="4097"/>
      <c r="BJ37" s="4098"/>
      <c r="BK37" s="4099" t="s">
        <v>560</v>
      </c>
      <c r="BL37" s="4096" t="s">
        <v>559</v>
      </c>
      <c r="BM37" s="4097"/>
      <c r="BN37" s="4097"/>
      <c r="BO37" s="4097"/>
      <c r="BP37" s="4097"/>
      <c r="BQ37" s="4098"/>
      <c r="BR37" s="4099" t="s">
        <v>560</v>
      </c>
      <c r="BS37" s="4096" t="s">
        <v>559</v>
      </c>
      <c r="BT37" s="4097"/>
      <c r="BU37" s="4097"/>
      <c r="BV37" s="4097"/>
      <c r="BW37" s="4097"/>
      <c r="BX37" s="4098"/>
      <c r="BY37" s="4099" t="s">
        <v>560</v>
      </c>
      <c r="BZ37" s="4096" t="s">
        <v>559</v>
      </c>
      <c r="CA37" s="4097"/>
      <c r="CB37" s="4097"/>
      <c r="CC37" s="4097"/>
      <c r="CD37" s="4097"/>
      <c r="CE37" s="4098"/>
      <c r="CF37" s="4099" t="s">
        <v>560</v>
      </c>
      <c r="CG37" s="4096" t="s">
        <v>559</v>
      </c>
      <c r="CH37" s="4097"/>
      <c r="CI37" s="4097"/>
      <c r="CJ37" s="4097"/>
      <c r="CK37" s="4097"/>
      <c r="CL37" s="4098"/>
      <c r="CM37" s="4099" t="s">
        <v>560</v>
      </c>
      <c r="CN37" s="4096" t="s">
        <v>559</v>
      </c>
      <c r="CO37" s="4097"/>
      <c r="CP37" s="4097"/>
      <c r="CQ37" s="4097"/>
      <c r="CR37" s="4097"/>
      <c r="CS37" s="4098"/>
      <c r="CT37" s="4099" t="s">
        <v>560</v>
      </c>
      <c r="CU37" s="2336" t="s">
        <v>562</v>
      </c>
      <c r="CV37" s="2183"/>
      <c r="DB37" s="1211">
        <v>14</v>
      </c>
    </row>
    <row customHeight="1" ht="35.699999999999996">
      <c r="Q38" s="432"/>
      <c r="R38" s="432"/>
      <c r="S38" s="2329"/>
      <c r="T38" s="2265"/>
      <c r="U38" s="1087"/>
      <c r="V38" s="1408" t="s">
        <v>618</v>
      </c>
      <c r="W38" s="2318" t="s">
        <v>565</v>
      </c>
      <c r="X38" s="2319"/>
      <c r="Y38" s="2318" t="s">
        <v>566</v>
      </c>
      <c r="Z38" s="2325"/>
      <c r="AA38" s="2319"/>
      <c r="AB38" s="2334"/>
      <c r="AC38" s="1408" t="s">
        <v>618</v>
      </c>
      <c r="AD38" s="2318" t="s">
        <v>565</v>
      </c>
      <c r="AE38" s="2319"/>
      <c r="AF38" s="2318" t="s">
        <v>566</v>
      </c>
      <c r="AG38" s="2325"/>
      <c r="AH38" s="2319"/>
      <c r="AI38" s="2334"/>
      <c r="AJ38" s="4101" t="s">
        <v>618</v>
      </c>
      <c r="AK38" s="4102" t="s">
        <v>565</v>
      </c>
      <c r="AL38" s="4103"/>
      <c r="AM38" s="4102" t="s">
        <v>566</v>
      </c>
      <c r="AN38" s="4104"/>
      <c r="AO38" s="4103"/>
      <c r="AP38" s="4105"/>
      <c r="AQ38" s="4101" t="s">
        <v>618</v>
      </c>
      <c r="AR38" s="4102" t="s">
        <v>565</v>
      </c>
      <c r="AS38" s="4103"/>
      <c r="AT38" s="4102" t="s">
        <v>566</v>
      </c>
      <c r="AU38" s="4104"/>
      <c r="AV38" s="4103"/>
      <c r="AW38" s="4105"/>
      <c r="AX38" s="4101" t="s">
        <v>618</v>
      </c>
      <c r="AY38" s="4102" t="s">
        <v>565</v>
      </c>
      <c r="AZ38" s="4103"/>
      <c r="BA38" s="4102" t="s">
        <v>566</v>
      </c>
      <c r="BB38" s="4104"/>
      <c r="BC38" s="4103"/>
      <c r="BD38" s="4105"/>
      <c r="BE38" s="4101" t="s">
        <v>618</v>
      </c>
      <c r="BF38" s="4102" t="s">
        <v>565</v>
      </c>
      <c r="BG38" s="4103"/>
      <c r="BH38" s="4102" t="s">
        <v>566</v>
      </c>
      <c r="BI38" s="4104"/>
      <c r="BJ38" s="4103"/>
      <c r="BK38" s="4105"/>
      <c r="BL38" s="4101" t="s">
        <v>618</v>
      </c>
      <c r="BM38" s="4102" t="s">
        <v>565</v>
      </c>
      <c r="BN38" s="4103"/>
      <c r="BO38" s="4102" t="s">
        <v>566</v>
      </c>
      <c r="BP38" s="4104"/>
      <c r="BQ38" s="4103"/>
      <c r="BR38" s="4105"/>
      <c r="BS38" s="4101" t="s">
        <v>618</v>
      </c>
      <c r="BT38" s="4102" t="s">
        <v>565</v>
      </c>
      <c r="BU38" s="4103"/>
      <c r="BV38" s="4102" t="s">
        <v>566</v>
      </c>
      <c r="BW38" s="4104"/>
      <c r="BX38" s="4103"/>
      <c r="BY38" s="4105"/>
      <c r="BZ38" s="4101" t="s">
        <v>618</v>
      </c>
      <c r="CA38" s="4102" t="s">
        <v>565</v>
      </c>
      <c r="CB38" s="4103"/>
      <c r="CC38" s="4102" t="s">
        <v>566</v>
      </c>
      <c r="CD38" s="4104"/>
      <c r="CE38" s="4103"/>
      <c r="CF38" s="4105"/>
      <c r="CG38" s="4101" t="s">
        <v>618</v>
      </c>
      <c r="CH38" s="4102" t="s">
        <v>565</v>
      </c>
      <c r="CI38" s="4103"/>
      <c r="CJ38" s="4102" t="s">
        <v>566</v>
      </c>
      <c r="CK38" s="4104"/>
      <c r="CL38" s="4103"/>
      <c r="CM38" s="4105"/>
      <c r="CN38" s="4101" t="s">
        <v>618</v>
      </c>
      <c r="CO38" s="4102" t="s">
        <v>565</v>
      </c>
      <c r="CP38" s="4103"/>
      <c r="CQ38" s="4102" t="s">
        <v>566</v>
      </c>
      <c r="CR38" s="4104"/>
      <c r="CS38" s="4103"/>
      <c r="CT38" s="4105"/>
      <c r="CU38" s="2337"/>
      <c r="CV38" s="2183"/>
      <c r="DB38" s="1211">
        <v>34</v>
      </c>
    </row>
    <row customHeight="1" ht="35.699999999999996">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408" t="s">
        <v>621</v>
      </c>
      <c r="W39" s="1278" t="s">
        <v>622</v>
      </c>
      <c r="X39" s="1278" t="s">
        <v>623</v>
      </c>
      <c r="Y39" s="1413" t="s">
        <v>576</v>
      </c>
      <c r="Z39" s="2326" t="s">
        <v>577</v>
      </c>
      <c r="AA39" s="2327"/>
      <c r="AB39" s="2335"/>
      <c r="AC39" s="1408" t="s">
        <v>621</v>
      </c>
      <c r="AD39" s="1278" t="s">
        <v>622</v>
      </c>
      <c r="AE39" s="1278" t="s">
        <v>623</v>
      </c>
      <c r="AF39" s="1413" t="s">
        <v>576</v>
      </c>
      <c r="AG39" s="2326" t="s">
        <v>577</v>
      </c>
      <c r="AH39" s="2327"/>
      <c r="AI39" s="2335"/>
      <c r="AJ39" s="4101" t="s">
        <v>621</v>
      </c>
      <c r="AK39" s="4107" t="s">
        <v>622</v>
      </c>
      <c r="AL39" s="4107" t="s">
        <v>623</v>
      </c>
      <c r="AM39" s="4107" t="s">
        <v>576</v>
      </c>
      <c r="AN39" s="4108" t="s">
        <v>577</v>
      </c>
      <c r="AO39" s="4109"/>
      <c r="AP39" s="4110"/>
      <c r="AQ39" s="4101" t="s">
        <v>621</v>
      </c>
      <c r="AR39" s="4107" t="s">
        <v>622</v>
      </c>
      <c r="AS39" s="4107" t="s">
        <v>623</v>
      </c>
      <c r="AT39" s="4107" t="s">
        <v>576</v>
      </c>
      <c r="AU39" s="4108" t="s">
        <v>577</v>
      </c>
      <c r="AV39" s="4109"/>
      <c r="AW39" s="4110"/>
      <c r="AX39" s="4101" t="s">
        <v>621</v>
      </c>
      <c r="AY39" s="4107" t="s">
        <v>622</v>
      </c>
      <c r="AZ39" s="4107" t="s">
        <v>623</v>
      </c>
      <c r="BA39" s="4107" t="s">
        <v>576</v>
      </c>
      <c r="BB39" s="4108" t="s">
        <v>577</v>
      </c>
      <c r="BC39" s="4109"/>
      <c r="BD39" s="4110"/>
      <c r="BE39" s="4101" t="s">
        <v>621</v>
      </c>
      <c r="BF39" s="4107" t="s">
        <v>622</v>
      </c>
      <c r="BG39" s="4107" t="s">
        <v>623</v>
      </c>
      <c r="BH39" s="4107" t="s">
        <v>576</v>
      </c>
      <c r="BI39" s="4108" t="s">
        <v>577</v>
      </c>
      <c r="BJ39" s="4109"/>
      <c r="BK39" s="4110"/>
      <c r="BL39" s="4101" t="s">
        <v>621</v>
      </c>
      <c r="BM39" s="4107" t="s">
        <v>622</v>
      </c>
      <c r="BN39" s="4107" t="s">
        <v>623</v>
      </c>
      <c r="BO39" s="4107" t="s">
        <v>576</v>
      </c>
      <c r="BP39" s="4108" t="s">
        <v>577</v>
      </c>
      <c r="BQ39" s="4109"/>
      <c r="BR39" s="4110"/>
      <c r="BS39" s="4101" t="s">
        <v>621</v>
      </c>
      <c r="BT39" s="4107" t="s">
        <v>622</v>
      </c>
      <c r="BU39" s="4107" t="s">
        <v>623</v>
      </c>
      <c r="BV39" s="4107" t="s">
        <v>576</v>
      </c>
      <c r="BW39" s="4108" t="s">
        <v>577</v>
      </c>
      <c r="BX39" s="4109"/>
      <c r="BY39" s="4110"/>
      <c r="BZ39" s="4101" t="s">
        <v>621</v>
      </c>
      <c r="CA39" s="4107" t="s">
        <v>622</v>
      </c>
      <c r="CB39" s="4107" t="s">
        <v>623</v>
      </c>
      <c r="CC39" s="4107" t="s">
        <v>576</v>
      </c>
      <c r="CD39" s="4108" t="s">
        <v>577</v>
      </c>
      <c r="CE39" s="4109"/>
      <c r="CF39" s="4110"/>
      <c r="CG39" s="4101" t="s">
        <v>621</v>
      </c>
      <c r="CH39" s="4107" t="s">
        <v>622</v>
      </c>
      <c r="CI39" s="4107" t="s">
        <v>623</v>
      </c>
      <c r="CJ39" s="4107" t="s">
        <v>576</v>
      </c>
      <c r="CK39" s="4108" t="s">
        <v>577</v>
      </c>
      <c r="CL39" s="4109"/>
      <c r="CM39" s="4110"/>
      <c r="CN39" s="4101" t="s">
        <v>621</v>
      </c>
      <c r="CO39" s="4107" t="s">
        <v>622</v>
      </c>
      <c r="CP39" s="4107" t="s">
        <v>623</v>
      </c>
      <c r="CQ39" s="4107" t="s">
        <v>576</v>
      </c>
      <c r="CR39" s="4108" t="s">
        <v>577</v>
      </c>
      <c r="CS39" s="4109"/>
      <c r="CT39" s="4110"/>
      <c r="CU39" s="2338"/>
      <c r="CV39" s="2183"/>
      <c r="DB39" s="1211">
        <v>34</v>
      </c>
    </row>
    <row s="3442" customFormat="1" customHeight="1" ht="11.25" hidden="1">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409">
        <f>OFFSET(V40,0,-1)+1</f>
        <v>3</v>
      </c>
      <c r="W40" s="1409">
        <f>OFFSET(W40,0,-1)+1</f>
        <v>4</v>
      </c>
      <c r="X40" s="1409">
        <f>OFFSET(X40,0,-1)+1</f>
        <v>5</v>
      </c>
      <c r="Y40" s="1409">
        <f>OFFSET(Y40,0,-1)+1</f>
        <v>6</v>
      </c>
      <c r="Z40" s="2328">
        <f>OFFSET(Z40,0,-1)+1</f>
        <v>7</v>
      </c>
      <c r="AA40" s="2328"/>
      <c r="AB40" s="1409">
        <f>OFFSET(AB40,0,-2)+1</f>
        <v>8</v>
      </c>
      <c r="AC40" s="1409">
        <f>OFFSET(AC40,0,-1)+1</f>
        <v>9</v>
      </c>
      <c r="AD40" s="1409">
        <f>OFFSET(AD40,0,-1)+1</f>
        <v>10</v>
      </c>
      <c r="AE40" s="1409">
        <f>OFFSET(AE40,0,-1)+1</f>
        <v>11</v>
      </c>
      <c r="AF40" s="1409">
        <f>OFFSET(AF40,0,-1)+1</f>
        <v>12</v>
      </c>
      <c r="AG40" s="2328">
        <f>OFFSET(AG40,0,-1)+1</f>
        <v>13</v>
      </c>
      <c r="AH40" s="2328"/>
      <c r="AI40" s="1409">
        <f>OFFSET(AI40,0,-2)+1</f>
        <v>14</v>
      </c>
      <c r="AJ40" s="4112">
        <f>OFFSET(AJ40,0,-1)+1</f>
        <v>15</v>
      </c>
      <c r="AK40" s="4112">
        <f>OFFSET(AK40,0,-1)+1</f>
        <v>16</v>
      </c>
      <c r="AL40" s="4112">
        <f>OFFSET(AL40,0,-1)+1</f>
        <v>17</v>
      </c>
      <c r="AM40" s="4112">
        <f>OFFSET(AM40,0,-1)+1</f>
        <v>18</v>
      </c>
      <c r="AN40" s="4112">
        <f>OFFSET(AN40,0,-1)+1</f>
        <v>19</v>
      </c>
      <c r="AO40" s="4112"/>
      <c r="AP40" s="4112">
        <f>OFFSET(AP40,0,-2)+1</f>
        <v>20</v>
      </c>
      <c r="AQ40" s="4112">
        <f>OFFSET(AQ40,0,-1)+1</f>
        <v>21</v>
      </c>
      <c r="AR40" s="4112">
        <f>OFFSET(AR40,0,-1)+1</f>
        <v>22</v>
      </c>
      <c r="AS40" s="4112">
        <f>OFFSET(AS40,0,-1)+1</f>
        <v>23</v>
      </c>
      <c r="AT40" s="4112">
        <f>OFFSET(AT40,0,-1)+1</f>
        <v>24</v>
      </c>
      <c r="AU40" s="4112">
        <f>OFFSET(AU40,0,-1)+1</f>
        <v>25</v>
      </c>
      <c r="AV40" s="4112"/>
      <c r="AW40" s="4112">
        <f>OFFSET(AW40,0,-2)+1</f>
        <v>26</v>
      </c>
      <c r="AX40" s="4112">
        <f>OFFSET(AX40,0,-1)+1</f>
        <v>27</v>
      </c>
      <c r="AY40" s="4112">
        <f>OFFSET(AY40,0,-1)+1</f>
        <v>28</v>
      </c>
      <c r="AZ40" s="4112">
        <f>OFFSET(AZ40,0,-1)+1</f>
        <v>29</v>
      </c>
      <c r="BA40" s="4112">
        <f>OFFSET(BA40,0,-1)+1</f>
        <v>30</v>
      </c>
      <c r="BB40" s="4112">
        <f>OFFSET(BB40,0,-1)+1</f>
        <v>31</v>
      </c>
      <c r="BC40" s="4112"/>
      <c r="BD40" s="4112">
        <f>OFFSET(BD40,0,-2)+1</f>
        <v>32</v>
      </c>
      <c r="BE40" s="4112">
        <f>OFFSET(BE40,0,-1)+1</f>
        <v>33</v>
      </c>
      <c r="BF40" s="4112">
        <f>OFFSET(BF40,0,-1)+1</f>
        <v>34</v>
      </c>
      <c r="BG40" s="4112">
        <f>OFFSET(BG40,0,-1)+1</f>
        <v>35</v>
      </c>
      <c r="BH40" s="4112">
        <f>OFFSET(BH40,0,-1)+1</f>
        <v>36</v>
      </c>
      <c r="BI40" s="4112">
        <f>OFFSET(BI40,0,-1)+1</f>
        <v>37</v>
      </c>
      <c r="BJ40" s="4112"/>
      <c r="BK40" s="4112">
        <f>OFFSET(BK40,0,-2)+1</f>
        <v>38</v>
      </c>
      <c r="BL40" s="4112">
        <f>OFFSET(BL40,0,-1)+1</f>
        <v>39</v>
      </c>
      <c r="BM40" s="4112">
        <f>OFFSET(BM40,0,-1)+1</f>
        <v>40</v>
      </c>
      <c r="BN40" s="4112">
        <f>OFFSET(BN40,0,-1)+1</f>
        <v>41</v>
      </c>
      <c r="BO40" s="4112">
        <f>OFFSET(BO40,0,-1)+1</f>
        <v>42</v>
      </c>
      <c r="BP40" s="4112">
        <f>OFFSET(BP40,0,-1)+1</f>
        <v>43</v>
      </c>
      <c r="BQ40" s="4112"/>
      <c r="BR40" s="4112">
        <f>OFFSET(BR40,0,-2)+1</f>
        <v>44</v>
      </c>
      <c r="BS40" s="4112">
        <f>OFFSET(BS40,0,-1)+1</f>
        <v>45</v>
      </c>
      <c r="BT40" s="4112">
        <f>OFFSET(BT40,0,-1)+1</f>
        <v>46</v>
      </c>
      <c r="BU40" s="4112">
        <f>OFFSET(BU40,0,-1)+1</f>
        <v>47</v>
      </c>
      <c r="BV40" s="4112">
        <f>OFFSET(BV40,0,-1)+1</f>
        <v>48</v>
      </c>
      <c r="BW40" s="4112">
        <f>OFFSET(BW40,0,-1)+1</f>
        <v>49</v>
      </c>
      <c r="BX40" s="4112"/>
      <c r="BY40" s="4112">
        <f>OFFSET(BY40,0,-2)+1</f>
        <v>50</v>
      </c>
      <c r="BZ40" s="4112">
        <f>OFFSET(BZ40,0,-1)+1</f>
        <v>51</v>
      </c>
      <c r="CA40" s="4112">
        <f>OFFSET(CA40,0,-1)+1</f>
        <v>52</v>
      </c>
      <c r="CB40" s="4112">
        <f>OFFSET(CB40,0,-1)+1</f>
        <v>53</v>
      </c>
      <c r="CC40" s="4112">
        <f>OFFSET(CC40,0,-1)+1</f>
        <v>54</v>
      </c>
      <c r="CD40" s="4112">
        <f>OFFSET(CD40,0,-1)+1</f>
        <v>55</v>
      </c>
      <c r="CE40" s="4112"/>
      <c r="CF40" s="4112">
        <f>OFFSET(CF40,0,-2)+1</f>
        <v>56</v>
      </c>
      <c r="CG40" s="4112">
        <f>OFFSET(CG40,0,-1)+1</f>
        <v>57</v>
      </c>
      <c r="CH40" s="4112">
        <f>OFFSET(CH40,0,-1)+1</f>
        <v>58</v>
      </c>
      <c r="CI40" s="4112">
        <f>OFFSET(CI40,0,-1)+1</f>
        <v>59</v>
      </c>
      <c r="CJ40" s="4112">
        <f>OFFSET(CJ40,0,-1)+1</f>
        <v>60</v>
      </c>
      <c r="CK40" s="4112">
        <f>OFFSET(CK40,0,-1)+1</f>
        <v>61</v>
      </c>
      <c r="CL40" s="4112"/>
      <c r="CM40" s="4112">
        <f>OFFSET(CM40,0,-2)+1</f>
        <v>62</v>
      </c>
      <c r="CN40" s="4112">
        <f>OFFSET(CN40,0,-1)+1</f>
        <v>63</v>
      </c>
      <c r="CO40" s="4112">
        <f>OFFSET(CO40,0,-1)+1</f>
        <v>64</v>
      </c>
      <c r="CP40" s="4112">
        <f>OFFSET(CP40,0,-1)+1</f>
        <v>65</v>
      </c>
      <c r="CQ40" s="4112">
        <f>OFFSET(CQ40,0,-1)+1</f>
        <v>66</v>
      </c>
      <c r="CR40" s="4112">
        <f>OFFSET(CR40,0,-1)+1</f>
        <v>67</v>
      </c>
      <c r="CS40" s="4112"/>
      <c r="CT40" s="4112">
        <f>OFFSET(CT40,0,-2)+1</f>
        <v>68</v>
      </c>
      <c r="CU40" s="1301">
        <f>OFFSET(CU40,0,-1)</f>
        <v>68</v>
      </c>
      <c r="CV40" s="1409">
        <f>OFFSET(CV40,0,-1)+1</f>
        <v>69</v>
      </c>
      <c r="CW40" s="567"/>
      <c r="CX40" s="567"/>
      <c r="CY40" s="567"/>
      <c r="CZ40" s="567"/>
      <c r="DA40" s="567"/>
      <c r="DB40" s="552">
        <v>0</v>
      </c>
    </row>
    <row customHeight="1" ht="24">
      <c r="A41" s="1419" t="s">
        <v>299</v>
      </c>
      <c r="B41" s="1419"/>
      <c r="C41" s="1419"/>
      <c r="D41" s="1419"/>
      <c r="E41" s="2314">
        <v>1</v>
      </c>
      <c r="F41" s="1419"/>
      <c r="G41" s="1419"/>
      <c r="H41" s="1419"/>
      <c r="I41" s="1419"/>
      <c r="J41" s="1419"/>
      <c r="K41" s="1419"/>
      <c r="L41" s="1420"/>
      <c r="M41" s="1421"/>
      <c r="N41" s="1421"/>
      <c r="O41" s="1421"/>
      <c r="P41" s="417"/>
      <c r="Q41" s="416"/>
      <c r="R41" s="411"/>
      <c r="S41" s="1414">
        <f>INDEX(PT_DIFFERENTIATION_NUM_NTAR,MATCH(A41,PT_DIFFERENTIATION_NTAR_ID,0))</f>
        <v>1</v>
      </c>
      <c r="T41" s="354" t="s">
        <v>202</v>
      </c>
      <c r="U41" s="356"/>
      <c r="V41" s="2298"/>
      <c r="W41" s="2299"/>
      <c r="X41" s="2299"/>
      <c r="Y41" s="2299"/>
      <c r="Z41" s="2299"/>
      <c r="AA41" s="2299"/>
      <c r="AB41" s="2300"/>
      <c r="AC41" s="2298" t="str">
        <f>INDEX(PT_DIFFERENTIATION_NTAR,MATCH(A41,PT_DIFFERENTIATION_NTAR_ID,0))</f>
        <v>Питьевая вода</v>
      </c>
      <c r="AD41" s="2299"/>
      <c r="AE41" s="2299"/>
      <c r="AF41" s="2299"/>
      <c r="AG41" s="2299"/>
      <c r="AH41" s="2299"/>
      <c r="AI41" s="2299"/>
      <c r="AJ41" s="3860"/>
      <c r="AK41" s="3861"/>
      <c r="AL41" s="3861"/>
      <c r="AM41" s="3861"/>
      <c r="AN41" s="3861"/>
      <c r="AO41" s="3861"/>
      <c r="AP41" s="3862"/>
      <c r="AQ41" s="3860"/>
      <c r="AR41" s="3861"/>
      <c r="AS41" s="3861"/>
      <c r="AT41" s="3861"/>
      <c r="AU41" s="3861"/>
      <c r="AV41" s="3861"/>
      <c r="AW41" s="3862"/>
      <c r="AX41" s="3860"/>
      <c r="AY41" s="3861"/>
      <c r="AZ41" s="3861"/>
      <c r="BA41" s="3861"/>
      <c r="BB41" s="3861"/>
      <c r="BC41" s="3861"/>
      <c r="BD41" s="3862"/>
      <c r="BE41" s="3860"/>
      <c r="BF41" s="3861"/>
      <c r="BG41" s="3861"/>
      <c r="BH41" s="3861"/>
      <c r="BI41" s="3861"/>
      <c r="BJ41" s="3861"/>
      <c r="BK41" s="3862"/>
      <c r="BL41" s="3860"/>
      <c r="BM41" s="3861"/>
      <c r="BN41" s="3861"/>
      <c r="BO41" s="3861"/>
      <c r="BP41" s="3861"/>
      <c r="BQ41" s="3861"/>
      <c r="BR41" s="3862"/>
      <c r="BS41" s="3860"/>
      <c r="BT41" s="3861"/>
      <c r="BU41" s="3861"/>
      <c r="BV41" s="3861"/>
      <c r="BW41" s="3861"/>
      <c r="BX41" s="3861"/>
      <c r="BY41" s="3862"/>
      <c r="BZ41" s="3860"/>
      <c r="CA41" s="3861"/>
      <c r="CB41" s="3861"/>
      <c r="CC41" s="3861"/>
      <c r="CD41" s="3861"/>
      <c r="CE41" s="3861"/>
      <c r="CF41" s="3862"/>
      <c r="CG41" s="3860"/>
      <c r="CH41" s="3861"/>
      <c r="CI41" s="3861"/>
      <c r="CJ41" s="3861"/>
      <c r="CK41" s="3861"/>
      <c r="CL41" s="3861"/>
      <c r="CM41" s="3862"/>
      <c r="CN41" s="3860"/>
      <c r="CO41" s="3861"/>
      <c r="CP41" s="3861"/>
      <c r="CQ41" s="3861"/>
      <c r="CR41" s="3861"/>
      <c r="CS41" s="3861"/>
      <c r="CT41" s="3862"/>
      <c r="CU41" s="2300"/>
      <c r="CV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CX41" s="556"/>
      <c r="CY41" s="556" t="str">
        <f>IF(T41="","",T41)</f>
        <v>Наименование тарифа</v>
      </c>
      <c r="CZ41" s="556"/>
      <c r="DA41" s="556"/>
      <c r="DB41" s="1211">
        <v>23</v>
      </c>
    </row>
    <row customHeight="1" ht="24">
      <c r="A42" s="1419" t="s">
        <v>299</v>
      </c>
      <c r="B42" s="1419" t="s">
        <v>300</v>
      </c>
      <c r="C42" s="1419"/>
      <c r="D42" s="1419"/>
      <c r="E42" s="2315"/>
      <c r="F42" s="2314">
        <v>1</v>
      </c>
      <c r="G42" s="1419"/>
      <c r="H42" s="1419"/>
      <c r="I42" s="1419"/>
      <c r="J42" s="1419"/>
      <c r="K42" s="1419"/>
      <c r="L42" s="1420"/>
      <c r="M42" s="1421"/>
      <c r="N42" s="1421"/>
      <c r="O42" s="1421"/>
      <c r="P42" s="1412"/>
      <c r="Q42" s="408"/>
      <c r="R42" s="409"/>
      <c r="S42" s="1414" t="str">
        <f>INDEX(PT_DIFFERENTIATION_NUM_TER,MATCH(B42,PT_DIFFERENTIATION_TER_ID,0))</f>
        <v>1.1</v>
      </c>
      <c r="T42" s="364" t="s">
        <v>529</v>
      </c>
      <c r="U42" s="356"/>
      <c r="V42" s="2298"/>
      <c r="W42" s="2299"/>
      <c r="X42" s="2299"/>
      <c r="Y42" s="2299"/>
      <c r="Z42" s="2299"/>
      <c r="AA42" s="2299"/>
      <c r="AB42" s="2300"/>
      <c r="AC42" s="2298" t="str">
        <f>INDEX(PT_DIFFERENTIATION_TER,MATCH(B42,PT_DIFFERENTIATION_TER_ID,0))</f>
        <v>Территория 1</v>
      </c>
      <c r="AD42" s="2299"/>
      <c r="AE42" s="2299"/>
      <c r="AF42" s="2299"/>
      <c r="AG42" s="2299"/>
      <c r="AH42" s="2299"/>
      <c r="AI42" s="2299"/>
      <c r="AJ42" s="3860"/>
      <c r="AK42" s="3861"/>
      <c r="AL42" s="3861"/>
      <c r="AM42" s="3861"/>
      <c r="AN42" s="3861"/>
      <c r="AO42" s="3861"/>
      <c r="AP42" s="3862"/>
      <c r="AQ42" s="3860"/>
      <c r="AR42" s="3861"/>
      <c r="AS42" s="3861"/>
      <c r="AT42" s="3861"/>
      <c r="AU42" s="3861"/>
      <c r="AV42" s="3861"/>
      <c r="AW42" s="3862"/>
      <c r="AX42" s="3860"/>
      <c r="AY42" s="3861"/>
      <c r="AZ42" s="3861"/>
      <c r="BA42" s="3861"/>
      <c r="BB42" s="3861"/>
      <c r="BC42" s="3861"/>
      <c r="BD42" s="3862"/>
      <c r="BE42" s="3860"/>
      <c r="BF42" s="3861"/>
      <c r="BG42" s="3861"/>
      <c r="BH42" s="3861"/>
      <c r="BI42" s="3861"/>
      <c r="BJ42" s="3861"/>
      <c r="BK42" s="3862"/>
      <c r="BL42" s="3860"/>
      <c r="BM42" s="3861"/>
      <c r="BN42" s="3861"/>
      <c r="BO42" s="3861"/>
      <c r="BP42" s="3861"/>
      <c r="BQ42" s="3861"/>
      <c r="BR42" s="3862"/>
      <c r="BS42" s="3860"/>
      <c r="BT42" s="3861"/>
      <c r="BU42" s="3861"/>
      <c r="BV42" s="3861"/>
      <c r="BW42" s="3861"/>
      <c r="BX42" s="3861"/>
      <c r="BY42" s="3862"/>
      <c r="BZ42" s="3860"/>
      <c r="CA42" s="3861"/>
      <c r="CB42" s="3861"/>
      <c r="CC42" s="3861"/>
      <c r="CD42" s="3861"/>
      <c r="CE42" s="3861"/>
      <c r="CF42" s="3862"/>
      <c r="CG42" s="3860"/>
      <c r="CH42" s="3861"/>
      <c r="CI42" s="3861"/>
      <c r="CJ42" s="3861"/>
      <c r="CK42" s="3861"/>
      <c r="CL42" s="3861"/>
      <c r="CM42" s="3862"/>
      <c r="CN42" s="3860"/>
      <c r="CO42" s="3861"/>
      <c r="CP42" s="3861"/>
      <c r="CQ42" s="3861"/>
      <c r="CR42" s="3861"/>
      <c r="CS42" s="3861"/>
      <c r="CT42" s="3862"/>
      <c r="CU42" s="2300"/>
      <c r="CV42" s="1314" t="s">
        <v>530</v>
      </c>
      <c r="CX42" s="556"/>
      <c r="CY42" s="556" t="str">
        <f>IF(T42="","",T42)</f>
        <v>Территория действия тарифа</v>
      </c>
      <c r="CZ42" s="556"/>
      <c r="DA42" s="556"/>
      <c r="DB42" s="1211">
        <v>23</v>
      </c>
    </row>
    <row customHeight="1" ht="24">
      <c r="A43" s="1419" t="s">
        <v>299</v>
      </c>
      <c r="B43" s="1419" t="s">
        <v>300</v>
      </c>
      <c r="C43" s="1419" t="s">
        <v>301</v>
      </c>
      <c r="D43" s="1419"/>
      <c r="E43" s="2315"/>
      <c r="F43" s="2315"/>
      <c r="G43" s="2314">
        <v>1</v>
      </c>
      <c r="H43" s="1419"/>
      <c r="I43" s="1419"/>
      <c r="J43" s="1419"/>
      <c r="K43" s="1419"/>
      <c r="L43" s="1420"/>
      <c r="M43" s="1421"/>
      <c r="N43" s="1421"/>
      <c r="O43" s="1421"/>
      <c r="P43" s="410"/>
      <c r="Q43" s="408"/>
      <c r="R43" s="409"/>
      <c r="S43" s="1414" t="str">
        <f>INDEX(PT_DIFFERENTIATION_NUM_CS,MATCH(C43,PT_DIFFERENTIATION_CS_ID,0))</f>
        <v>1.1.1</v>
      </c>
      <c r="T43" s="365" t="s">
        <v>610</v>
      </c>
      <c r="U43" s="356"/>
      <c r="V43" s="2298"/>
      <c r="W43" s="2299"/>
      <c r="X43" s="2299"/>
      <c r="Y43" s="2299"/>
      <c r="Z43" s="2299"/>
      <c r="AA43" s="2299"/>
      <c r="AB43" s="2300"/>
      <c r="AC43" s="2298" t="str">
        <f>INDEX(PT_DIFFERENTIATION_CS,MATCH(C43,PT_DIFFERENTIATION_CS_ID,0))</f>
        <v>без дифференциации</v>
      </c>
      <c r="AD43" s="2299"/>
      <c r="AE43" s="2299"/>
      <c r="AF43" s="2299"/>
      <c r="AG43" s="2299"/>
      <c r="AH43" s="2299"/>
      <c r="AI43" s="2299"/>
      <c r="AJ43" s="3860"/>
      <c r="AK43" s="3861"/>
      <c r="AL43" s="3861"/>
      <c r="AM43" s="3861"/>
      <c r="AN43" s="3861"/>
      <c r="AO43" s="3861"/>
      <c r="AP43" s="3862"/>
      <c r="AQ43" s="3860"/>
      <c r="AR43" s="3861"/>
      <c r="AS43" s="3861"/>
      <c r="AT43" s="3861"/>
      <c r="AU43" s="3861"/>
      <c r="AV43" s="3861"/>
      <c r="AW43" s="3862"/>
      <c r="AX43" s="3860"/>
      <c r="AY43" s="3861"/>
      <c r="AZ43" s="3861"/>
      <c r="BA43" s="3861"/>
      <c r="BB43" s="3861"/>
      <c r="BC43" s="3861"/>
      <c r="BD43" s="3862"/>
      <c r="BE43" s="3860"/>
      <c r="BF43" s="3861"/>
      <c r="BG43" s="3861"/>
      <c r="BH43" s="3861"/>
      <c r="BI43" s="3861"/>
      <c r="BJ43" s="3861"/>
      <c r="BK43" s="3862"/>
      <c r="BL43" s="3860"/>
      <c r="BM43" s="3861"/>
      <c r="BN43" s="3861"/>
      <c r="BO43" s="3861"/>
      <c r="BP43" s="3861"/>
      <c r="BQ43" s="3861"/>
      <c r="BR43" s="3862"/>
      <c r="BS43" s="3860"/>
      <c r="BT43" s="3861"/>
      <c r="BU43" s="3861"/>
      <c r="BV43" s="3861"/>
      <c r="BW43" s="3861"/>
      <c r="BX43" s="3861"/>
      <c r="BY43" s="3862"/>
      <c r="BZ43" s="3860"/>
      <c r="CA43" s="3861"/>
      <c r="CB43" s="3861"/>
      <c r="CC43" s="3861"/>
      <c r="CD43" s="3861"/>
      <c r="CE43" s="3861"/>
      <c r="CF43" s="3862"/>
      <c r="CG43" s="3860"/>
      <c r="CH43" s="3861"/>
      <c r="CI43" s="3861"/>
      <c r="CJ43" s="3861"/>
      <c r="CK43" s="3861"/>
      <c r="CL43" s="3861"/>
      <c r="CM43" s="3862"/>
      <c r="CN43" s="3860"/>
      <c r="CO43" s="3861"/>
      <c r="CP43" s="3861"/>
      <c r="CQ43" s="3861"/>
      <c r="CR43" s="3861"/>
      <c r="CS43" s="3861"/>
      <c r="CT43" s="3862"/>
      <c r="CU43" s="2300"/>
      <c r="CV43" s="1314" t="s">
        <v>611</v>
      </c>
      <c r="CX43" s="556"/>
      <c r="CY43" s="556" t="str">
        <f>IF(T43="","",T43)</f>
        <v>Наименование централизованной системы холодного водоснабжения</v>
      </c>
      <c r="CZ43" s="556"/>
      <c r="DA43" s="556"/>
      <c r="DB43" s="1211">
        <v>23</v>
      </c>
    </row>
    <row customHeight="1" ht="24">
      <c r="A44" s="1419" t="s">
        <v>299</v>
      </c>
      <c r="B44" s="1419" t="s">
        <v>300</v>
      </c>
      <c r="C44" s="1419" t="s">
        <v>301</v>
      </c>
      <c r="D44" s="1419" t="s">
        <v>624</v>
      </c>
      <c r="E44" s="2315"/>
      <c r="F44" s="2315"/>
      <c r="G44" s="2315"/>
      <c r="H44" s="2315"/>
      <c r="I44" s="2312" t="str">
        <f>S43&amp;".1"</f>
        <v>1.1.1.1</v>
      </c>
      <c r="J44" s="1419"/>
      <c r="K44" s="1419"/>
      <c r="L44" s="1420"/>
      <c r="P44" s="2313">
        <v>1</v>
      </c>
      <c r="Q44" s="1410"/>
      <c r="R44" s="412"/>
      <c r="S44" s="1414" t="str">
        <f>$I44</f>
        <v>1.1.1.1</v>
      </c>
      <c r="T44" s="341" t="s">
        <v>612</v>
      </c>
      <c r="U44" s="356"/>
      <c r="V44" s="2406"/>
      <c r="W44" s="2407"/>
      <c r="X44" s="2407"/>
      <c r="Y44" s="2407"/>
      <c r="Z44" s="2407"/>
      <c r="AA44" s="2407"/>
      <c r="AB44" s="2408"/>
      <c r="AC44" s="2409"/>
      <c r="AD44" s="2410"/>
      <c r="AE44" s="2410"/>
      <c r="AF44" s="2410"/>
      <c r="AG44" s="2410"/>
      <c r="AH44" s="2410"/>
      <c r="AI44" s="2410"/>
      <c r="AJ44" s="3870"/>
      <c r="AK44" s="3871"/>
      <c r="AL44" s="3871"/>
      <c r="AM44" s="3871"/>
      <c r="AN44" s="3871"/>
      <c r="AO44" s="3871"/>
      <c r="AP44" s="3872"/>
      <c r="AQ44" s="3870"/>
      <c r="AR44" s="3871"/>
      <c r="AS44" s="3871"/>
      <c r="AT44" s="3871"/>
      <c r="AU44" s="3871"/>
      <c r="AV44" s="3871"/>
      <c r="AW44" s="3872"/>
      <c r="AX44" s="3870"/>
      <c r="AY44" s="3871"/>
      <c r="AZ44" s="3871"/>
      <c r="BA44" s="3871"/>
      <c r="BB44" s="3871"/>
      <c r="BC44" s="3871"/>
      <c r="BD44" s="3872"/>
      <c r="BE44" s="3870"/>
      <c r="BF44" s="3871"/>
      <c r="BG44" s="3871"/>
      <c r="BH44" s="3871"/>
      <c r="BI44" s="3871"/>
      <c r="BJ44" s="3871"/>
      <c r="BK44" s="3872"/>
      <c r="BL44" s="3870"/>
      <c r="BM44" s="3871"/>
      <c r="BN44" s="3871"/>
      <c r="BO44" s="3871"/>
      <c r="BP44" s="3871"/>
      <c r="BQ44" s="3871"/>
      <c r="BR44" s="3872"/>
      <c r="BS44" s="3870"/>
      <c r="BT44" s="3871"/>
      <c r="BU44" s="3871"/>
      <c r="BV44" s="3871"/>
      <c r="BW44" s="3871"/>
      <c r="BX44" s="3871"/>
      <c r="BY44" s="3872"/>
      <c r="BZ44" s="3870"/>
      <c r="CA44" s="3871"/>
      <c r="CB44" s="3871"/>
      <c r="CC44" s="3871"/>
      <c r="CD44" s="3871"/>
      <c r="CE44" s="3871"/>
      <c r="CF44" s="3872"/>
      <c r="CG44" s="3870"/>
      <c r="CH44" s="3871"/>
      <c r="CI44" s="3871"/>
      <c r="CJ44" s="3871"/>
      <c r="CK44" s="3871"/>
      <c r="CL44" s="3871"/>
      <c r="CM44" s="3872"/>
      <c r="CN44" s="3870"/>
      <c r="CO44" s="3871"/>
      <c r="CP44" s="3871"/>
      <c r="CQ44" s="3871"/>
      <c r="CR44" s="3871"/>
      <c r="CS44" s="3871"/>
      <c r="CT44" s="3872"/>
      <c r="CU44" s="2411"/>
      <c r="CV44" s="1314" t="s">
        <v>613</v>
      </c>
      <c r="CX44" s="556"/>
      <c r="CY44" s="556" t="str">
        <f>IF(T44="","",T44)</f>
        <v>Наименование признака дифференциации</v>
      </c>
      <c r="CZ44" s="556"/>
      <c r="DA44" s="556"/>
      <c r="DB44" s="1211">
        <v>23</v>
      </c>
    </row>
    <row customHeight="1" ht="24">
      <c r="A45" s="1419" t="s">
        <v>299</v>
      </c>
      <c r="B45" s="1419" t="s">
        <v>300</v>
      </c>
      <c r="C45" s="1419" t="s">
        <v>301</v>
      </c>
      <c r="D45" s="1419" t="s">
        <v>624</v>
      </c>
      <c r="E45" s="2315"/>
      <c r="F45" s="2315"/>
      <c r="G45" s="2315"/>
      <c r="H45" s="2315"/>
      <c r="I45" s="2342"/>
      <c r="J45" s="2312" t="str">
        <f>I44&amp;".1"</f>
        <v>1.1.1.1.1</v>
      </c>
      <c r="K45" s="1419"/>
      <c r="L45" s="1420" t="s">
        <v>538</v>
      </c>
      <c r="P45" s="2313"/>
      <c r="Q45" s="2313">
        <v>1</v>
      </c>
      <c r="R45" s="413"/>
      <c r="S45" s="1414" t="str">
        <f>$J45</f>
        <v>1.1.1.1.1</v>
      </c>
      <c r="T45" s="342" t="s">
        <v>539</v>
      </c>
      <c r="U45" s="356"/>
      <c r="V45" s="2301"/>
      <c r="W45" s="2302"/>
      <c r="X45" s="2302"/>
      <c r="Y45" s="2302"/>
      <c r="Z45" s="2302"/>
      <c r="AA45" s="2302"/>
      <c r="AB45" s="2303"/>
      <c r="AC45" s="2301" t="s">
        <v>625</v>
      </c>
      <c r="AD45" s="2302"/>
      <c r="AE45" s="2302"/>
      <c r="AF45" s="2302"/>
      <c r="AG45" s="2302"/>
      <c r="AH45" s="2302"/>
      <c r="AI45" s="2302"/>
      <c r="AJ45" s="3874"/>
      <c r="AK45" s="3875"/>
      <c r="AL45" s="3875"/>
      <c r="AM45" s="3875"/>
      <c r="AN45" s="3875"/>
      <c r="AO45" s="3875"/>
      <c r="AP45" s="3876"/>
      <c r="AQ45" s="3874"/>
      <c r="AR45" s="3875"/>
      <c r="AS45" s="3875"/>
      <c r="AT45" s="3875"/>
      <c r="AU45" s="3875"/>
      <c r="AV45" s="3875"/>
      <c r="AW45" s="3876"/>
      <c r="AX45" s="3874"/>
      <c r="AY45" s="3875"/>
      <c r="AZ45" s="3875"/>
      <c r="BA45" s="3875"/>
      <c r="BB45" s="3875"/>
      <c r="BC45" s="3875"/>
      <c r="BD45" s="3876"/>
      <c r="BE45" s="3874"/>
      <c r="BF45" s="3875"/>
      <c r="BG45" s="3875"/>
      <c r="BH45" s="3875"/>
      <c r="BI45" s="3875"/>
      <c r="BJ45" s="3875"/>
      <c r="BK45" s="3876"/>
      <c r="BL45" s="3874"/>
      <c r="BM45" s="3875"/>
      <c r="BN45" s="3875"/>
      <c r="BO45" s="3875"/>
      <c r="BP45" s="3875"/>
      <c r="BQ45" s="3875"/>
      <c r="BR45" s="3876"/>
      <c r="BS45" s="3874"/>
      <c r="BT45" s="3875"/>
      <c r="BU45" s="3875"/>
      <c r="BV45" s="3875"/>
      <c r="BW45" s="3875"/>
      <c r="BX45" s="3875"/>
      <c r="BY45" s="3876"/>
      <c r="BZ45" s="3874"/>
      <c r="CA45" s="3875"/>
      <c r="CB45" s="3875"/>
      <c r="CC45" s="3875"/>
      <c r="CD45" s="3875"/>
      <c r="CE45" s="3875"/>
      <c r="CF45" s="3876"/>
      <c r="CG45" s="3874"/>
      <c r="CH45" s="3875"/>
      <c r="CI45" s="3875"/>
      <c r="CJ45" s="3875"/>
      <c r="CK45" s="3875"/>
      <c r="CL45" s="3875"/>
      <c r="CM45" s="3876"/>
      <c r="CN45" s="3874"/>
      <c r="CO45" s="3875"/>
      <c r="CP45" s="3875"/>
      <c r="CQ45" s="3875"/>
      <c r="CR45" s="3875"/>
      <c r="CS45" s="3875"/>
      <c r="CT45" s="3876"/>
      <c r="CU45" s="2303"/>
      <c r="CV45" s="1363" t="s">
        <v>614</v>
      </c>
      <c r="CX45" s="556"/>
      <c r="CY45" s="556" t="str">
        <f>IF(T45="","",T45)</f>
        <v>Группа потребителей</v>
      </c>
      <c r="CZ45" s="556"/>
      <c r="DA45" s="556"/>
      <c r="DB45" s="1211">
        <v>23</v>
      </c>
    </row>
    <row customHeight="1" ht="24">
      <c r="A46" s="1419" t="s">
        <v>299</v>
      </c>
      <c r="B46" s="1419" t="s">
        <v>300</v>
      </c>
      <c r="C46" s="1419" t="s">
        <v>301</v>
      </c>
      <c r="D46" s="1419" t="s">
        <v>624</v>
      </c>
      <c r="E46" s="2315"/>
      <c r="F46" s="2315"/>
      <c r="G46" s="2315"/>
      <c r="H46" s="2315"/>
      <c r="I46" s="2342"/>
      <c r="J46" s="2342"/>
      <c r="K46" s="2312" t="str">
        <f>J45&amp;".1"</f>
        <v>1.1.1.1.1.1</v>
      </c>
      <c r="L46" s="1420"/>
      <c r="P46" s="2313"/>
      <c r="Q46" s="2313"/>
      <c r="R46" s="413">
        <v>1</v>
      </c>
      <c r="S46" s="1414" t="str">
        <f>$K46</f>
        <v>1.1.1.1.1.1</v>
      </c>
      <c r="T46" s="1493"/>
      <c r="U46" s="356"/>
      <c r="V46" s="3878"/>
      <c r="W46" s="3878"/>
      <c r="X46" s="3879"/>
      <c r="Y46" s="3880"/>
      <c r="Z46" s="3881" t="s">
        <v>65</v>
      </c>
      <c r="AA46" s="4116"/>
      <c r="AB46" s="3881" t="s">
        <v>65</v>
      </c>
      <c r="AC46" s="807">
        <v>63.87</v>
      </c>
      <c r="AD46" s="807"/>
      <c r="AE46" s="1313"/>
      <c r="AF46" s="3880">
        <v>45292</v>
      </c>
      <c r="AG46" s="2163" t="s">
        <v>65</v>
      </c>
      <c r="AH46" s="4116">
        <v>45473</v>
      </c>
      <c r="AI46" s="2163" t="s">
        <v>65</v>
      </c>
      <c r="AJ46" s="3878">
        <v>70.62</v>
      </c>
      <c r="AK46" s="3878"/>
      <c r="AL46" s="3879"/>
      <c r="AM46" s="3880">
        <v>45474</v>
      </c>
      <c r="AN46" s="3881" t="s">
        <v>65</v>
      </c>
      <c r="AO46" s="4116">
        <v>45657</v>
      </c>
      <c r="AP46" s="3881" t="s">
        <v>65</v>
      </c>
      <c r="AQ46" s="3878">
        <v>70.62</v>
      </c>
      <c r="AR46" s="3878"/>
      <c r="AS46" s="3879"/>
      <c r="AT46" s="3880">
        <v>45658</v>
      </c>
      <c r="AU46" s="3881" t="s">
        <v>65</v>
      </c>
      <c r="AV46" s="4116">
        <v>45838</v>
      </c>
      <c r="AW46" s="3881" t="s">
        <v>65</v>
      </c>
      <c r="AX46" s="3878">
        <v>74.15</v>
      </c>
      <c r="AY46" s="3878"/>
      <c r="AZ46" s="3879"/>
      <c r="BA46" s="3880">
        <v>45839</v>
      </c>
      <c r="BB46" s="3881" t="s">
        <v>65</v>
      </c>
      <c r="BC46" s="4116">
        <v>46022</v>
      </c>
      <c r="BD46" s="3881" t="s">
        <v>65</v>
      </c>
      <c r="BE46" s="3878">
        <v>74.27</v>
      </c>
      <c r="BF46" s="3878"/>
      <c r="BG46" s="3879"/>
      <c r="BH46" s="3880">
        <v>46023</v>
      </c>
      <c r="BI46" s="3881" t="s">
        <v>65</v>
      </c>
      <c r="BJ46" s="4116">
        <v>46203</v>
      </c>
      <c r="BK46" s="3881" t="s">
        <v>65</v>
      </c>
      <c r="BL46" s="3878">
        <v>77.24</v>
      </c>
      <c r="BM46" s="3878"/>
      <c r="BN46" s="3879"/>
      <c r="BO46" s="3880">
        <v>46204</v>
      </c>
      <c r="BP46" s="3881" t="s">
        <v>65</v>
      </c>
      <c r="BQ46" s="4116">
        <v>46387</v>
      </c>
      <c r="BR46" s="3881" t="s">
        <v>65</v>
      </c>
      <c r="BS46" s="3878">
        <v>77.24</v>
      </c>
      <c r="BT46" s="3878"/>
      <c r="BU46" s="3879"/>
      <c r="BV46" s="3880">
        <v>46388</v>
      </c>
      <c r="BW46" s="3881" t="s">
        <v>65</v>
      </c>
      <c r="BX46" s="4116">
        <v>46568</v>
      </c>
      <c r="BY46" s="3881" t="s">
        <v>65</v>
      </c>
      <c r="BZ46" s="3878">
        <v>80.33</v>
      </c>
      <c r="CA46" s="3878"/>
      <c r="CB46" s="3879"/>
      <c r="CC46" s="3880">
        <v>46388</v>
      </c>
      <c r="CD46" s="3881" t="s">
        <v>65</v>
      </c>
      <c r="CE46" s="4116">
        <v>46752</v>
      </c>
      <c r="CF46" s="3881" t="s">
        <v>65</v>
      </c>
      <c r="CG46" s="3878">
        <v>80.33</v>
      </c>
      <c r="CH46" s="3878"/>
      <c r="CI46" s="3879"/>
      <c r="CJ46" s="3880">
        <v>46753</v>
      </c>
      <c r="CK46" s="3881" t="s">
        <v>65</v>
      </c>
      <c r="CL46" s="4116">
        <v>46934</v>
      </c>
      <c r="CM46" s="3881" t="s">
        <v>65</v>
      </c>
      <c r="CN46" s="3878">
        <v>83.54</v>
      </c>
      <c r="CO46" s="3878"/>
      <c r="CP46" s="3879"/>
      <c r="CQ46" s="3880">
        <v>46935</v>
      </c>
      <c r="CR46" s="3881" t="s">
        <v>65</v>
      </c>
      <c r="CS46" s="4116">
        <v>47118</v>
      </c>
      <c r="CT46" s="3881" t="s">
        <v>65</v>
      </c>
      <c r="CU46" s="1494"/>
      <c r="CV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46" s="567">
        <f>STRCHECKDATE(V47:CU47)</f>
      </c>
      <c r="CX46" s="556"/>
      <c r="CY46" s="556" t="str">
        <f>IF(T46="","",T46)</f>
        <v/>
      </c>
      <c r="CZ46" s="556"/>
      <c r="DA46" s="556"/>
      <c r="DB46" s="1211">
        <v>23</v>
      </c>
    </row>
    <row customHeight="1" ht="0">
      <c r="A47" s="1419" t="s">
        <v>299</v>
      </c>
      <c r="B47" s="1419" t="s">
        <v>300</v>
      </c>
      <c r="C47" s="1419" t="s">
        <v>301</v>
      </c>
      <c r="D47" s="1419" t="s">
        <v>624</v>
      </c>
      <c r="E47" s="2315"/>
      <c r="F47" s="2315"/>
      <c r="G47" s="2315"/>
      <c r="H47" s="2315"/>
      <c r="I47" s="2342"/>
      <c r="J47" s="2342"/>
      <c r="K47" s="2312"/>
      <c r="L47" s="1420"/>
      <c r="P47" s="2313"/>
      <c r="Q47" s="2313"/>
      <c r="R47" s="413"/>
      <c r="S47" s="1415"/>
      <c r="T47" s="356"/>
      <c r="U47" s="356"/>
      <c r="V47" s="3885"/>
      <c r="W47" s="3885"/>
      <c r="X47" s="3886" t="str">
        <f>Y46&amp;"-"&amp;AA46</f>
        <v>-</v>
      </c>
      <c r="Y47" s="3887"/>
      <c r="Z47" s="3881"/>
      <c r="AA47" s="4118"/>
      <c r="AB47" s="3881"/>
      <c r="AC47" s="381"/>
      <c r="AD47" s="381"/>
      <c r="AE47" s="384" t="str">
        <f>AF46&amp;"-"&amp;AH46</f>
        <v>45292-45473</v>
      </c>
      <c r="AF47" s="2322"/>
      <c r="AG47" s="2163"/>
      <c r="AH47" s="2344"/>
      <c r="AI47" s="2163"/>
      <c r="AJ47" s="3885"/>
      <c r="AK47" s="3885"/>
      <c r="AL47" s="3886" t="str">
        <f>AM46&amp;"-"&amp;AO46</f>
        <v>45474-45657</v>
      </c>
      <c r="AM47" s="3887"/>
      <c r="AN47" s="3881"/>
      <c r="AO47" s="4118"/>
      <c r="AP47" s="3881"/>
      <c r="AQ47" s="3885"/>
      <c r="AR47" s="3885"/>
      <c r="AS47" s="3886" t="str">
        <f>AT46&amp;"-"&amp;AV46</f>
        <v>45658-45838</v>
      </c>
      <c r="AT47" s="3887"/>
      <c r="AU47" s="3881"/>
      <c r="AV47" s="4118"/>
      <c r="AW47" s="3881"/>
      <c r="AX47" s="3885"/>
      <c r="AY47" s="3885"/>
      <c r="AZ47" s="3886" t="str">
        <f>BA46&amp;"-"&amp;BC46</f>
        <v>45839-46022</v>
      </c>
      <c r="BA47" s="3887"/>
      <c r="BB47" s="3881"/>
      <c r="BC47" s="4118"/>
      <c r="BD47" s="3881"/>
      <c r="BE47" s="3885"/>
      <c r="BF47" s="3885"/>
      <c r="BG47" s="3886" t="str">
        <f>BH46&amp;"-"&amp;BJ46</f>
        <v>46023-46203</v>
      </c>
      <c r="BH47" s="3887"/>
      <c r="BI47" s="3881"/>
      <c r="BJ47" s="4118"/>
      <c r="BK47" s="3881"/>
      <c r="BL47" s="3885"/>
      <c r="BM47" s="3885"/>
      <c r="BN47" s="3886" t="str">
        <f>BO46&amp;"-"&amp;BQ46</f>
        <v>46204-46387</v>
      </c>
      <c r="BO47" s="3887"/>
      <c r="BP47" s="3881"/>
      <c r="BQ47" s="4118"/>
      <c r="BR47" s="3881"/>
      <c r="BS47" s="3885"/>
      <c r="BT47" s="3885"/>
      <c r="BU47" s="3886" t="str">
        <f>BV46&amp;"-"&amp;BX46</f>
        <v>46388-46568</v>
      </c>
      <c r="BV47" s="3887"/>
      <c r="BW47" s="3881"/>
      <c r="BX47" s="4118"/>
      <c r="BY47" s="3881"/>
      <c r="BZ47" s="3885"/>
      <c r="CA47" s="3885"/>
      <c r="CB47" s="3886" t="str">
        <f>CC46&amp;"-"&amp;CE46</f>
        <v>46388-46752</v>
      </c>
      <c r="CC47" s="3887"/>
      <c r="CD47" s="3881"/>
      <c r="CE47" s="4118"/>
      <c r="CF47" s="3881"/>
      <c r="CG47" s="3885"/>
      <c r="CH47" s="3885"/>
      <c r="CI47" s="3886" t="str">
        <f>CJ46&amp;"-"&amp;CL46</f>
        <v>46753-46934</v>
      </c>
      <c r="CJ47" s="3887"/>
      <c r="CK47" s="3881"/>
      <c r="CL47" s="4118"/>
      <c r="CM47" s="3881"/>
      <c r="CN47" s="3885"/>
      <c r="CO47" s="3885"/>
      <c r="CP47" s="3886" t="str">
        <f>CQ46&amp;"-"&amp;CS46</f>
        <v>46935-47118</v>
      </c>
      <c r="CQ47" s="3887"/>
      <c r="CR47" s="3881"/>
      <c r="CS47" s="4118"/>
      <c r="CT47" s="3881"/>
      <c r="CU47" s="1495"/>
      <c r="CV47" s="2405"/>
      <c r="CX47" s="556"/>
      <c r="CY47" s="556" t="str">
        <f>IF(T47="","",T47)</f>
        <v/>
      </c>
      <c r="CZ47" s="556"/>
      <c r="DA47" s="556"/>
      <c r="DB47" s="1211">
        <v>0</v>
      </c>
    </row>
    <row customHeight="1" ht="21">
      <c r="A48" s="1419" t="s">
        <v>299</v>
      </c>
      <c r="B48" s="1419" t="s">
        <v>300</v>
      </c>
      <c r="C48" s="1419" t="s">
        <v>301</v>
      </c>
      <c r="D48" s="1419" t="s">
        <v>624</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119"/>
      <c r="AK48" s="4120"/>
      <c r="AL48" s="4121"/>
      <c r="AM48" s="4122"/>
      <c r="AN48" s="4123"/>
      <c r="AO48" s="4124"/>
      <c r="AP48" s="4125"/>
      <c r="AQ48" s="4126"/>
      <c r="AR48" s="4127"/>
      <c r="AS48" s="4128"/>
      <c r="AT48" s="4129"/>
      <c r="AU48" s="4130"/>
      <c r="AV48" s="4131"/>
      <c r="AW48" s="4132"/>
      <c r="AX48" s="4133"/>
      <c r="AY48" s="4134"/>
      <c r="AZ48" s="4135"/>
      <c r="BA48" s="4136"/>
      <c r="BB48" s="4137"/>
      <c r="BC48" s="4138"/>
      <c r="BD48" s="4139"/>
      <c r="BE48" s="4140"/>
      <c r="BF48" s="4141"/>
      <c r="BG48" s="4142"/>
      <c r="BH48" s="4143"/>
      <c r="BI48" s="4144"/>
      <c r="BJ48" s="4145"/>
      <c r="BK48" s="4146"/>
      <c r="BL48" s="4147"/>
      <c r="BM48" s="4148"/>
      <c r="BN48" s="4149"/>
      <c r="BO48" s="4150"/>
      <c r="BP48" s="4151"/>
      <c r="BQ48" s="4152"/>
      <c r="BR48" s="4153"/>
      <c r="BS48" s="4154"/>
      <c r="BT48" s="4155"/>
      <c r="BU48" s="4156"/>
      <c r="BV48" s="4157"/>
      <c r="BW48" s="4158"/>
      <c r="BX48" s="4159"/>
      <c r="BY48" s="4160"/>
      <c r="BZ48" s="4161"/>
      <c r="CA48" s="4162"/>
      <c r="CB48" s="4163"/>
      <c r="CC48" s="4164"/>
      <c r="CD48" s="4165"/>
      <c r="CE48" s="4166"/>
      <c r="CF48" s="4167"/>
      <c r="CG48" s="4168"/>
      <c r="CH48" s="4169"/>
      <c r="CI48" s="4170"/>
      <c r="CJ48" s="4171"/>
      <c r="CK48" s="4172"/>
      <c r="CL48" s="4173"/>
      <c r="CM48" s="4174"/>
      <c r="CN48" s="4175"/>
      <c r="CO48" s="4176"/>
      <c r="CP48" s="4177"/>
      <c r="CQ48" s="4178"/>
      <c r="CR48" s="4179"/>
      <c r="CS48" s="4180"/>
      <c r="CT48" s="4181"/>
      <c r="CU48" s="423"/>
      <c r="CV48" s="1314" t="s">
        <v>616</v>
      </c>
      <c r="CX48" s="556"/>
      <c r="CY48" s="556" t="str">
        <f>IF(T48="","",T48)</f>
        <v>Добавить значение признака дифференциации</v>
      </c>
      <c r="CZ48" s="556"/>
      <c r="DA48" s="556"/>
      <c r="DB48" s="1211">
        <v>20</v>
      </c>
    </row>
    <row s="4182" customFormat="1" customHeight="1" ht="23.25">
      <c r="A49" s="4183"/>
      <c r="B49" s="4183"/>
      <c r="C49" s="4183"/>
      <c r="D49" s="4183"/>
      <c r="E49" s="4184"/>
      <c r="F49" s="4184"/>
      <c r="G49" s="4184"/>
      <c r="H49" s="4184"/>
      <c r="I49" s="4185"/>
      <c r="J49" s="4186" t="str">
        <f>I44&amp;".2"</f>
        <v>1.1.1.1.2</v>
      </c>
      <c r="K49" s="4183"/>
      <c r="L49" s="4187" t="s">
        <v>538</v>
      </c>
      <c r="M49" s="4188"/>
      <c r="N49" s="4188"/>
      <c r="O49" s="4188"/>
      <c r="P49" s="4189"/>
      <c r="Q49" s="4190" t="s">
        <v>109</v>
      </c>
      <c r="R49" s="4191"/>
      <c r="S49" s="4192" t="str">
        <f>$J49</f>
        <v>1.1.1.1.2</v>
      </c>
      <c r="T49" s="4193" t="s">
        <v>539</v>
      </c>
      <c r="U49" s="4194"/>
      <c r="V49" s="3874"/>
      <c r="W49" s="3875"/>
      <c r="X49" s="3875"/>
      <c r="Y49" s="3875"/>
      <c r="Z49" s="3875"/>
      <c r="AA49" s="3875"/>
      <c r="AB49" s="3876"/>
      <c r="AC49" s="3874" t="s">
        <v>626</v>
      </c>
      <c r="AD49" s="3875"/>
      <c r="AE49" s="3875"/>
      <c r="AF49" s="3875"/>
      <c r="AG49" s="3875"/>
      <c r="AH49" s="3875"/>
      <c r="AI49" s="3875"/>
      <c r="AJ49" s="3874"/>
      <c r="AK49" s="3875"/>
      <c r="AL49" s="3875"/>
      <c r="AM49" s="3875"/>
      <c r="AN49" s="3875"/>
      <c r="AO49" s="3875"/>
      <c r="AP49" s="3876"/>
      <c r="AQ49" s="3874"/>
      <c r="AR49" s="3875"/>
      <c r="AS49" s="3875"/>
      <c r="AT49" s="3875"/>
      <c r="AU49" s="3875"/>
      <c r="AV49" s="3875"/>
      <c r="AW49" s="3876"/>
      <c r="AX49" s="3874"/>
      <c r="AY49" s="3875"/>
      <c r="AZ49" s="3875"/>
      <c r="BA49" s="3875"/>
      <c r="BB49" s="3875"/>
      <c r="BC49" s="3875"/>
      <c r="BD49" s="3876"/>
      <c r="BE49" s="3874"/>
      <c r="BF49" s="3875"/>
      <c r="BG49" s="3875"/>
      <c r="BH49" s="3875"/>
      <c r="BI49" s="3875"/>
      <c r="BJ49" s="3875"/>
      <c r="BK49" s="3876"/>
      <c r="BL49" s="3874"/>
      <c r="BM49" s="3875"/>
      <c r="BN49" s="3875"/>
      <c r="BO49" s="3875"/>
      <c r="BP49" s="3875"/>
      <c r="BQ49" s="3875"/>
      <c r="BR49" s="3876"/>
      <c r="BS49" s="3874"/>
      <c r="BT49" s="3875"/>
      <c r="BU49" s="3875"/>
      <c r="BV49" s="3875"/>
      <c r="BW49" s="3875"/>
      <c r="BX49" s="3875"/>
      <c r="BY49" s="3876"/>
      <c r="BZ49" s="3874"/>
      <c r="CA49" s="3875"/>
      <c r="CB49" s="3875"/>
      <c r="CC49" s="3875"/>
      <c r="CD49" s="3875"/>
      <c r="CE49" s="3875"/>
      <c r="CF49" s="3876"/>
      <c r="CG49" s="3874"/>
      <c r="CH49" s="3875"/>
      <c r="CI49" s="3875"/>
      <c r="CJ49" s="3875"/>
      <c r="CK49" s="3875"/>
      <c r="CL49" s="3875"/>
      <c r="CM49" s="3876"/>
      <c r="CN49" s="3874"/>
      <c r="CO49" s="3875"/>
      <c r="CP49" s="3875"/>
      <c r="CQ49" s="3875"/>
      <c r="CR49" s="3875"/>
      <c r="CS49" s="3875"/>
      <c r="CT49" s="3876"/>
      <c r="CU49" s="3876"/>
      <c r="CV49" s="4195" t="s">
        <v>614</v>
      </c>
      <c r="CW49" s="4093"/>
      <c r="CX49" s="4196"/>
      <c r="CY49" s="4196" t="str">
        <f>IF(T49="","",T49)</f>
        <v>Группа потребителей</v>
      </c>
      <c r="CZ49" s="4196"/>
      <c r="DA49" s="4196"/>
      <c r="DB49" s="3858">
        <v>0</v>
      </c>
    </row>
    <row s="4197" customFormat="1" customHeight="1" ht="23.25">
      <c r="A50" s="4183"/>
      <c r="B50" s="4183"/>
      <c r="C50" s="4183"/>
      <c r="D50" s="4183"/>
      <c r="E50" s="4184"/>
      <c r="F50" s="4184"/>
      <c r="G50" s="4184"/>
      <c r="H50" s="4184"/>
      <c r="I50" s="4185"/>
      <c r="J50" s="4185" t="str">
        <f>I44&amp;".1"</f>
        <v>1.1.1.1.1</v>
      </c>
      <c r="K50" s="4186" t="str">
        <f>J49&amp;".1"</f>
        <v>1.1.1.1.2.1</v>
      </c>
      <c r="L50" s="4187"/>
      <c r="M50" s="4188"/>
      <c r="N50" s="4188"/>
      <c r="O50" s="4188"/>
      <c r="P50" s="4189"/>
      <c r="Q50" s="4189"/>
      <c r="R50" s="4191">
        <v>1</v>
      </c>
      <c r="S50" s="4192" t="str">
        <f>$K50</f>
        <v>1.1.1.1.2.1</v>
      </c>
      <c r="T50" s="4198"/>
      <c r="U50" s="4194"/>
      <c r="V50" s="3878"/>
      <c r="W50" s="3878"/>
      <c r="X50" s="3879"/>
      <c r="Y50" s="3880"/>
      <c r="Z50" s="3881" t="s">
        <v>65</v>
      </c>
      <c r="AA50" s="3880"/>
      <c r="AB50" s="3881" t="s">
        <v>65</v>
      </c>
      <c r="AC50" s="3878">
        <v>68.24</v>
      </c>
      <c r="AD50" s="3878"/>
      <c r="AE50" s="3879"/>
      <c r="AF50" s="3880">
        <v>45292</v>
      </c>
      <c r="AG50" s="3881" t="s">
        <v>65</v>
      </c>
      <c r="AH50" s="4116">
        <v>45473</v>
      </c>
      <c r="AI50" s="3881" t="s">
        <v>65</v>
      </c>
      <c r="AJ50" s="3878">
        <v>70.62</v>
      </c>
      <c r="AK50" s="3878"/>
      <c r="AL50" s="3879"/>
      <c r="AM50" s="3880">
        <v>45474</v>
      </c>
      <c r="AN50" s="3881" t="s">
        <v>65</v>
      </c>
      <c r="AO50" s="3880">
        <v>45657</v>
      </c>
      <c r="AP50" s="3881" t="s">
        <v>65</v>
      </c>
      <c r="AQ50" s="3878">
        <v>70.62</v>
      </c>
      <c r="AR50" s="3878"/>
      <c r="AS50" s="3879"/>
      <c r="AT50" s="3880">
        <v>45658</v>
      </c>
      <c r="AU50" s="3881" t="s">
        <v>65</v>
      </c>
      <c r="AV50" s="3880">
        <v>45838</v>
      </c>
      <c r="AW50" s="3881" t="s">
        <v>65</v>
      </c>
      <c r="AX50" s="3878">
        <v>72.63</v>
      </c>
      <c r="AY50" s="3878"/>
      <c r="AZ50" s="3879"/>
      <c r="BA50" s="3880">
        <v>45839</v>
      </c>
      <c r="BB50" s="3881" t="s">
        <v>65</v>
      </c>
      <c r="BC50" s="3880">
        <v>46022</v>
      </c>
      <c r="BD50" s="3881" t="s">
        <v>65</v>
      </c>
      <c r="BE50" s="3878">
        <v>74.27</v>
      </c>
      <c r="BF50" s="3878"/>
      <c r="BG50" s="3879"/>
      <c r="BH50" s="3880">
        <v>46023</v>
      </c>
      <c r="BI50" s="3881" t="s">
        <v>65</v>
      </c>
      <c r="BJ50" s="3880">
        <v>46203</v>
      </c>
      <c r="BK50" s="3881" t="s">
        <v>65</v>
      </c>
      <c r="BL50" s="3878">
        <v>79.2</v>
      </c>
      <c r="BM50" s="3878"/>
      <c r="BN50" s="3879"/>
      <c r="BO50" s="3880">
        <v>46204</v>
      </c>
      <c r="BP50" s="3881" t="s">
        <v>65</v>
      </c>
      <c r="BQ50" s="3880">
        <v>46387</v>
      </c>
      <c r="BR50" s="3881" t="s">
        <v>65</v>
      </c>
      <c r="BS50" s="3878">
        <v>79.2</v>
      </c>
      <c r="BT50" s="3878"/>
      <c r="BU50" s="3879"/>
      <c r="BV50" s="3880">
        <v>46388</v>
      </c>
      <c r="BW50" s="3881" t="s">
        <v>65</v>
      </c>
      <c r="BX50" s="3880">
        <v>46568</v>
      </c>
      <c r="BY50" s="3881" t="s">
        <v>65</v>
      </c>
      <c r="BZ50" s="3878">
        <v>87.32</v>
      </c>
      <c r="CA50" s="3878"/>
      <c r="CB50" s="3879"/>
      <c r="CC50" s="3880">
        <v>46388</v>
      </c>
      <c r="CD50" s="3881" t="s">
        <v>65</v>
      </c>
      <c r="CE50" s="3880">
        <v>46752</v>
      </c>
      <c r="CF50" s="3881" t="s">
        <v>65</v>
      </c>
      <c r="CG50" s="3878">
        <v>87.32</v>
      </c>
      <c r="CH50" s="3878"/>
      <c r="CI50" s="3879"/>
      <c r="CJ50" s="3880">
        <v>46753</v>
      </c>
      <c r="CK50" s="3881" t="s">
        <v>65</v>
      </c>
      <c r="CL50" s="3880">
        <v>46934</v>
      </c>
      <c r="CM50" s="3881" t="s">
        <v>65</v>
      </c>
      <c r="CN50" s="3878">
        <v>98.29</v>
      </c>
      <c r="CO50" s="3878"/>
      <c r="CP50" s="3879"/>
      <c r="CQ50" s="3880">
        <v>46935</v>
      </c>
      <c r="CR50" s="3881" t="s">
        <v>65</v>
      </c>
      <c r="CS50" s="3880">
        <v>47118</v>
      </c>
      <c r="CT50" s="3881" t="s">
        <v>65</v>
      </c>
      <c r="CU50" s="4199"/>
      <c r="CV5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0" s="4093">
        <f>STRCHECKDATE(V51:CU51)</f>
      </c>
      <c r="CX50" s="4196"/>
      <c r="CY50" s="4196" t="str">
        <f>IF(T50="","",T50)</f>
        <v/>
      </c>
      <c r="CZ50" s="4196"/>
      <c r="DA50" s="4196"/>
      <c r="DB50" s="3858">
        <v>0</v>
      </c>
    </row>
    <row s="4201" customFormat="1" customHeight="1" ht="14.25">
      <c r="A51" s="4183"/>
      <c r="B51" s="4183"/>
      <c r="C51" s="4183"/>
      <c r="D51" s="4183"/>
      <c r="E51" s="4184"/>
      <c r="F51" s="4184"/>
      <c r="G51" s="4184"/>
      <c r="H51" s="4184"/>
      <c r="I51" s="4185"/>
      <c r="J51" s="4185" t="str">
        <f>I44&amp;".1"</f>
        <v>1.1.1.1.1</v>
      </c>
      <c r="K51" s="4186"/>
      <c r="L51" s="4187"/>
      <c r="M51" s="4188"/>
      <c r="N51" s="4188"/>
      <c r="O51" s="4188"/>
      <c r="P51" s="4189"/>
      <c r="Q51" s="4189"/>
      <c r="R51" s="4191"/>
      <c r="S51" s="4202"/>
      <c r="T51" s="4194"/>
      <c r="U51" s="4194"/>
      <c r="V51" s="3885"/>
      <c r="W51" s="3885"/>
      <c r="X51" s="3886" t="str">
        <f>Y50&amp;"-"&amp;AA50</f>
        <v>-</v>
      </c>
      <c r="Y51" s="3887"/>
      <c r="Z51" s="3881"/>
      <c r="AA51" s="3887"/>
      <c r="AB51" s="3881"/>
      <c r="AC51" s="3885"/>
      <c r="AD51" s="3885"/>
      <c r="AE51" s="3886" t="str">
        <f>AF50&amp;"-"&amp;AH50</f>
        <v>45292-45473</v>
      </c>
      <c r="AF51" s="3887"/>
      <c r="AG51" s="3881"/>
      <c r="AH51" s="4118"/>
      <c r="AI51" s="3881"/>
      <c r="AJ51" s="3885"/>
      <c r="AK51" s="3885"/>
      <c r="AL51" s="3886" t="str">
        <f>AM50&amp;"-"&amp;AO50</f>
        <v>45474-45657</v>
      </c>
      <c r="AM51" s="3887"/>
      <c r="AN51" s="3881"/>
      <c r="AO51" s="3887"/>
      <c r="AP51" s="3881"/>
      <c r="AQ51" s="3885"/>
      <c r="AR51" s="3885"/>
      <c r="AS51" s="3886" t="str">
        <f>AT50&amp;"-"&amp;AV50</f>
        <v>45658-45838</v>
      </c>
      <c r="AT51" s="3887"/>
      <c r="AU51" s="3881"/>
      <c r="AV51" s="3887"/>
      <c r="AW51" s="3881"/>
      <c r="AX51" s="3885"/>
      <c r="AY51" s="3885"/>
      <c r="AZ51" s="3886" t="str">
        <f>BA50&amp;"-"&amp;BC50</f>
        <v>45839-46022</v>
      </c>
      <c r="BA51" s="3887"/>
      <c r="BB51" s="3881"/>
      <c r="BC51" s="3887"/>
      <c r="BD51" s="3881"/>
      <c r="BE51" s="3885"/>
      <c r="BF51" s="3885"/>
      <c r="BG51" s="3886" t="str">
        <f>BH50&amp;"-"&amp;BJ50</f>
        <v>46023-46203</v>
      </c>
      <c r="BH51" s="3887"/>
      <c r="BI51" s="3881"/>
      <c r="BJ51" s="3887"/>
      <c r="BK51" s="3881"/>
      <c r="BL51" s="3885"/>
      <c r="BM51" s="3885"/>
      <c r="BN51" s="3886" t="str">
        <f>BO50&amp;"-"&amp;BQ50</f>
        <v>46204-46387</v>
      </c>
      <c r="BO51" s="3887"/>
      <c r="BP51" s="3881"/>
      <c r="BQ51" s="3887"/>
      <c r="BR51" s="3881"/>
      <c r="BS51" s="3885"/>
      <c r="BT51" s="3885"/>
      <c r="BU51" s="3886" t="str">
        <f>BV50&amp;"-"&amp;BX50</f>
        <v>46388-46568</v>
      </c>
      <c r="BV51" s="3887"/>
      <c r="BW51" s="3881"/>
      <c r="BX51" s="3887"/>
      <c r="BY51" s="3881"/>
      <c r="BZ51" s="3885"/>
      <c r="CA51" s="3885"/>
      <c r="CB51" s="3886" t="str">
        <f>CC50&amp;"-"&amp;CE50</f>
        <v>46388-46752</v>
      </c>
      <c r="CC51" s="3887"/>
      <c r="CD51" s="3881"/>
      <c r="CE51" s="3887"/>
      <c r="CF51" s="3881"/>
      <c r="CG51" s="3885"/>
      <c r="CH51" s="3885"/>
      <c r="CI51" s="3886" t="str">
        <f>CJ50&amp;"-"&amp;CL50</f>
        <v>46753-46934</v>
      </c>
      <c r="CJ51" s="3887"/>
      <c r="CK51" s="3881"/>
      <c r="CL51" s="3887"/>
      <c r="CM51" s="3881"/>
      <c r="CN51" s="3885"/>
      <c r="CO51" s="3885"/>
      <c r="CP51" s="3886" t="str">
        <f>CQ50&amp;"-"&amp;CS50</f>
        <v>46935-47118</v>
      </c>
      <c r="CQ51" s="3887"/>
      <c r="CR51" s="3881"/>
      <c r="CS51" s="3887"/>
      <c r="CT51" s="3881"/>
      <c r="CU51" s="4203"/>
      <c r="CV51" s="4200"/>
      <c r="CW51" s="4093"/>
      <c r="CX51" s="4196"/>
      <c r="CY51" s="4196" t="str">
        <f>IF(T51="","",T51)</f>
        <v/>
      </c>
      <c r="CZ51" s="4196"/>
      <c r="DA51" s="4196"/>
      <c r="DB51" s="3858">
        <v>0</v>
      </c>
    </row>
    <row s="4204" customFormat="1" customHeight="1" ht="21">
      <c r="A52" s="4183"/>
      <c r="B52" s="4183"/>
      <c r="C52" s="4183"/>
      <c r="D52" s="4183"/>
      <c r="E52" s="4184"/>
      <c r="F52" s="4184"/>
      <c r="G52" s="4184"/>
      <c r="H52" s="4184"/>
      <c r="I52" s="4185"/>
      <c r="J52" s="4186" t="str">
        <f>I44&amp;".1"</f>
        <v>1.1.1.1.1</v>
      </c>
      <c r="K52" s="4183"/>
      <c r="L52" s="4187"/>
      <c r="M52" s="4188"/>
      <c r="N52" s="4188"/>
      <c r="O52" s="4188"/>
      <c r="P52" s="4189"/>
      <c r="Q52" s="4189"/>
      <c r="R52" s="4205"/>
      <c r="S52" s="4206"/>
      <c r="T52" s="4207" t="s">
        <v>615</v>
      </c>
      <c r="U52" s="4208"/>
      <c r="V52" s="4209"/>
      <c r="W52" s="4210"/>
      <c r="X52" s="4211"/>
      <c r="Y52" s="4212"/>
      <c r="Z52" s="4213"/>
      <c r="AA52" s="4214"/>
      <c r="AB52" s="4215"/>
      <c r="AC52" s="4216"/>
      <c r="AD52" s="4217"/>
      <c r="AE52" s="4218"/>
      <c r="AF52" s="4219"/>
      <c r="AG52" s="4220"/>
      <c r="AH52" s="4221"/>
      <c r="AI52" s="4222"/>
      <c r="AJ52" s="4223"/>
      <c r="AK52" s="4224"/>
      <c r="AL52" s="4225"/>
      <c r="AM52" s="4226"/>
      <c r="AN52" s="4227"/>
      <c r="AO52" s="4228"/>
      <c r="AP52" s="4229"/>
      <c r="AQ52" s="4230"/>
      <c r="AR52" s="4231"/>
      <c r="AS52" s="4232"/>
      <c r="AT52" s="4233"/>
      <c r="AU52" s="4234"/>
      <c r="AV52" s="4235"/>
      <c r="AW52" s="4236"/>
      <c r="AX52" s="4237"/>
      <c r="AY52" s="4238"/>
      <c r="AZ52" s="4239"/>
      <c r="BA52" s="4240"/>
      <c r="BB52" s="4241"/>
      <c r="BC52" s="4242"/>
      <c r="BD52" s="4243"/>
      <c r="BE52" s="4244"/>
      <c r="BF52" s="4245"/>
      <c r="BG52" s="4246"/>
      <c r="BH52" s="4247"/>
      <c r="BI52" s="4248"/>
      <c r="BJ52" s="4249"/>
      <c r="BK52" s="4250"/>
      <c r="BL52" s="4251"/>
      <c r="BM52" s="4252"/>
      <c r="BN52" s="4253"/>
      <c r="BO52" s="4254"/>
      <c r="BP52" s="4255"/>
      <c r="BQ52" s="4256"/>
      <c r="BR52" s="4257"/>
      <c r="BS52" s="4258"/>
      <c r="BT52" s="4259"/>
      <c r="BU52" s="4260"/>
      <c r="BV52" s="4261"/>
      <c r="BW52" s="4262"/>
      <c r="BX52" s="4263"/>
      <c r="BY52" s="4264"/>
      <c r="BZ52" s="4265"/>
      <c r="CA52" s="4266"/>
      <c r="CB52" s="4267"/>
      <c r="CC52" s="4268"/>
      <c r="CD52" s="4269"/>
      <c r="CE52" s="4270"/>
      <c r="CF52" s="4271"/>
      <c r="CG52" s="4272"/>
      <c r="CH52" s="4273"/>
      <c r="CI52" s="4274"/>
      <c r="CJ52" s="4275"/>
      <c r="CK52" s="4276"/>
      <c r="CL52" s="4277"/>
      <c r="CM52" s="4278"/>
      <c r="CN52" s="4279"/>
      <c r="CO52" s="4280"/>
      <c r="CP52" s="4281"/>
      <c r="CQ52" s="4282"/>
      <c r="CR52" s="4283"/>
      <c r="CS52" s="4284"/>
      <c r="CT52" s="4285"/>
      <c r="CU52" s="4286"/>
      <c r="CV52" s="4287" t="s">
        <v>616</v>
      </c>
      <c r="CW52" s="4093"/>
      <c r="CX52" s="4196"/>
      <c r="CY52" s="4196" t="str">
        <f>IF(T52="","",T52)</f>
        <v>Добавить значение признака дифференциации</v>
      </c>
      <c r="CZ52" s="4196"/>
      <c r="DA52" s="4196"/>
      <c r="DB52" s="3858">
        <v>0</v>
      </c>
    </row>
    <row s="4288" customFormat="1" customHeight="1" ht="23.25">
      <c r="A53" s="4183"/>
      <c r="B53" s="4183"/>
      <c r="C53" s="4183"/>
      <c r="D53" s="4183"/>
      <c r="E53" s="4184"/>
      <c r="F53" s="4184"/>
      <c r="G53" s="4184"/>
      <c r="H53" s="4184"/>
      <c r="I53" s="4185"/>
      <c r="J53" s="4186" t="str">
        <f>I44&amp;".3"</f>
        <v>1.1.1.1.3</v>
      </c>
      <c r="K53" s="4183"/>
      <c r="L53" s="4187" t="s">
        <v>538</v>
      </c>
      <c r="M53" s="4188"/>
      <c r="N53" s="4188"/>
      <c r="O53" s="4188"/>
      <c r="P53" s="4189"/>
      <c r="Q53" s="4190" t="s">
        <v>109</v>
      </c>
      <c r="R53" s="4191"/>
      <c r="S53" s="4192" t="str">
        <f>$J53</f>
        <v>1.1.1.1.3</v>
      </c>
      <c r="T53" s="4193" t="s">
        <v>539</v>
      </c>
      <c r="U53" s="4194"/>
      <c r="V53" s="3874"/>
      <c r="W53" s="3875"/>
      <c r="X53" s="3875"/>
      <c r="Y53" s="3875"/>
      <c r="Z53" s="3875"/>
      <c r="AA53" s="3875"/>
      <c r="AB53" s="3876"/>
      <c r="AC53" s="3874" t="s">
        <v>627</v>
      </c>
      <c r="AD53" s="3875"/>
      <c r="AE53" s="3875"/>
      <c r="AF53" s="3875"/>
      <c r="AG53" s="3875"/>
      <c r="AH53" s="3875"/>
      <c r="AI53" s="3875"/>
      <c r="AJ53" s="3874"/>
      <c r="AK53" s="3875"/>
      <c r="AL53" s="3875"/>
      <c r="AM53" s="3875"/>
      <c r="AN53" s="3875"/>
      <c r="AO53" s="3875"/>
      <c r="AP53" s="3876"/>
      <c r="AQ53" s="3874"/>
      <c r="AR53" s="3875"/>
      <c r="AS53" s="3875"/>
      <c r="AT53" s="3875"/>
      <c r="AU53" s="3875"/>
      <c r="AV53" s="3875"/>
      <c r="AW53" s="3876"/>
      <c r="AX53" s="3874"/>
      <c r="AY53" s="3875"/>
      <c r="AZ53" s="3875"/>
      <c r="BA53" s="3875"/>
      <c r="BB53" s="3875"/>
      <c r="BC53" s="3875"/>
      <c r="BD53" s="3876"/>
      <c r="BE53" s="3874"/>
      <c r="BF53" s="3875"/>
      <c r="BG53" s="3875"/>
      <c r="BH53" s="3875"/>
      <c r="BI53" s="3875"/>
      <c r="BJ53" s="3875"/>
      <c r="BK53" s="3876"/>
      <c r="BL53" s="3874"/>
      <c r="BM53" s="3875"/>
      <c r="BN53" s="3875"/>
      <c r="BO53" s="3875"/>
      <c r="BP53" s="3875"/>
      <c r="BQ53" s="3875"/>
      <c r="BR53" s="3876"/>
      <c r="BS53" s="3874"/>
      <c r="BT53" s="3875"/>
      <c r="BU53" s="3875"/>
      <c r="BV53" s="3875"/>
      <c r="BW53" s="3875"/>
      <c r="BX53" s="3875"/>
      <c r="BY53" s="3876"/>
      <c r="BZ53" s="3874"/>
      <c r="CA53" s="3875"/>
      <c r="CB53" s="3875"/>
      <c r="CC53" s="3875"/>
      <c r="CD53" s="3875"/>
      <c r="CE53" s="3875"/>
      <c r="CF53" s="3876"/>
      <c r="CG53" s="3874"/>
      <c r="CH53" s="3875"/>
      <c r="CI53" s="3875"/>
      <c r="CJ53" s="3875"/>
      <c r="CK53" s="3875"/>
      <c r="CL53" s="3875"/>
      <c r="CM53" s="3876"/>
      <c r="CN53" s="3874"/>
      <c r="CO53" s="3875"/>
      <c r="CP53" s="3875"/>
      <c r="CQ53" s="3875"/>
      <c r="CR53" s="3875"/>
      <c r="CS53" s="3875"/>
      <c r="CT53" s="3876"/>
      <c r="CU53" s="3876"/>
      <c r="CV53" s="4195" t="s">
        <v>614</v>
      </c>
      <c r="CW53" s="4093"/>
      <c r="CX53" s="4196"/>
      <c r="CY53" s="4196" t="str">
        <f>IF(T53="","",T53)</f>
        <v>Группа потребителей</v>
      </c>
      <c r="CZ53" s="4196"/>
      <c r="DA53" s="4196"/>
      <c r="DB53" s="3858">
        <v>0</v>
      </c>
    </row>
    <row s="4289" customFormat="1" customHeight="1" ht="23.25">
      <c r="A54" s="4183"/>
      <c r="B54" s="4183"/>
      <c r="C54" s="4183"/>
      <c r="D54" s="4183"/>
      <c r="E54" s="4184"/>
      <c r="F54" s="4184"/>
      <c r="G54" s="4184"/>
      <c r="H54" s="4184"/>
      <c r="I54" s="4185"/>
      <c r="J54" s="4185" t="str">
        <f>I44&amp;".2"</f>
        <v>1.1.1.1.2</v>
      </c>
      <c r="K54" s="4186" t="str">
        <f>J53&amp;".1"</f>
        <v>1.1.1.1.3.1</v>
      </c>
      <c r="L54" s="4187"/>
      <c r="M54" s="4188"/>
      <c r="N54" s="4188"/>
      <c r="O54" s="4188"/>
      <c r="P54" s="4189"/>
      <c r="Q54" s="4189"/>
      <c r="R54" s="4191">
        <v>1</v>
      </c>
      <c r="S54" s="4192" t="str">
        <f>$K54</f>
        <v>1.1.1.1.3.1</v>
      </c>
      <c r="T54" s="4198"/>
      <c r="U54" s="4194"/>
      <c r="V54" s="3878"/>
      <c r="W54" s="3878"/>
      <c r="X54" s="3879"/>
      <c r="Y54" s="3880"/>
      <c r="Z54" s="3881" t="s">
        <v>65</v>
      </c>
      <c r="AA54" s="3880"/>
      <c r="AB54" s="3881" t="s">
        <v>65</v>
      </c>
      <c r="AC54" s="3878">
        <v>68.24</v>
      </c>
      <c r="AD54" s="3878"/>
      <c r="AE54" s="3879"/>
      <c r="AF54" s="3880">
        <v>45292</v>
      </c>
      <c r="AG54" s="3881" t="s">
        <v>65</v>
      </c>
      <c r="AH54" s="4116">
        <v>45473</v>
      </c>
      <c r="AI54" s="3881" t="s">
        <v>65</v>
      </c>
      <c r="AJ54" s="3878">
        <v>70.62</v>
      </c>
      <c r="AK54" s="3878"/>
      <c r="AL54" s="3879"/>
      <c r="AM54" s="3880">
        <v>45474</v>
      </c>
      <c r="AN54" s="3881" t="s">
        <v>65</v>
      </c>
      <c r="AO54" s="3880">
        <v>45657</v>
      </c>
      <c r="AP54" s="3881" t="s">
        <v>65</v>
      </c>
      <c r="AQ54" s="3878">
        <v>70.62</v>
      </c>
      <c r="AR54" s="3878"/>
      <c r="AS54" s="3879"/>
      <c r="AT54" s="3880">
        <v>45658</v>
      </c>
      <c r="AU54" s="3881" t="s">
        <v>65</v>
      </c>
      <c r="AV54" s="3880">
        <v>45838</v>
      </c>
      <c r="AW54" s="3881" t="s">
        <v>65</v>
      </c>
      <c r="AX54" s="3878">
        <v>72.63</v>
      </c>
      <c r="AY54" s="3878"/>
      <c r="AZ54" s="3879"/>
      <c r="BA54" s="3880">
        <v>45839</v>
      </c>
      <c r="BB54" s="3881" t="s">
        <v>65</v>
      </c>
      <c r="BC54" s="3880">
        <v>46022</v>
      </c>
      <c r="BD54" s="3881" t="s">
        <v>65</v>
      </c>
      <c r="BE54" s="3878">
        <v>74.27</v>
      </c>
      <c r="BF54" s="3878"/>
      <c r="BG54" s="3879"/>
      <c r="BH54" s="3880">
        <v>46023</v>
      </c>
      <c r="BI54" s="3881" t="s">
        <v>65</v>
      </c>
      <c r="BJ54" s="3880">
        <v>46203</v>
      </c>
      <c r="BK54" s="3881" t="s">
        <v>65</v>
      </c>
      <c r="BL54" s="3878">
        <v>79.2</v>
      </c>
      <c r="BM54" s="3878"/>
      <c r="BN54" s="3879"/>
      <c r="BO54" s="3880">
        <v>46204</v>
      </c>
      <c r="BP54" s="3881" t="s">
        <v>65</v>
      </c>
      <c r="BQ54" s="3880">
        <v>46387</v>
      </c>
      <c r="BR54" s="3881" t="s">
        <v>65</v>
      </c>
      <c r="BS54" s="3878">
        <v>79.2</v>
      </c>
      <c r="BT54" s="3878"/>
      <c r="BU54" s="3879"/>
      <c r="BV54" s="3880">
        <v>46388</v>
      </c>
      <c r="BW54" s="3881" t="s">
        <v>65</v>
      </c>
      <c r="BX54" s="3880">
        <v>46568</v>
      </c>
      <c r="BY54" s="3881" t="s">
        <v>65</v>
      </c>
      <c r="BZ54" s="3878">
        <v>87.32</v>
      </c>
      <c r="CA54" s="3878"/>
      <c r="CB54" s="3879"/>
      <c r="CC54" s="3880">
        <v>46388</v>
      </c>
      <c r="CD54" s="3881" t="s">
        <v>65</v>
      </c>
      <c r="CE54" s="3880">
        <v>46752</v>
      </c>
      <c r="CF54" s="3881" t="s">
        <v>65</v>
      </c>
      <c r="CG54" s="3878">
        <v>87.32</v>
      </c>
      <c r="CH54" s="3878"/>
      <c r="CI54" s="3879"/>
      <c r="CJ54" s="3880">
        <v>46753</v>
      </c>
      <c r="CK54" s="3881" t="s">
        <v>65</v>
      </c>
      <c r="CL54" s="3880">
        <v>46934</v>
      </c>
      <c r="CM54" s="3881" t="s">
        <v>65</v>
      </c>
      <c r="CN54" s="3878">
        <v>98.29</v>
      </c>
      <c r="CO54" s="3878"/>
      <c r="CP54" s="3879"/>
      <c r="CQ54" s="3880">
        <v>46935</v>
      </c>
      <c r="CR54" s="3881" t="s">
        <v>65</v>
      </c>
      <c r="CS54" s="3880">
        <v>47118</v>
      </c>
      <c r="CT54" s="3881" t="s">
        <v>65</v>
      </c>
      <c r="CU54" s="4199"/>
      <c r="CV5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54" s="4093">
        <f>STRCHECKDATE(V55:CU55)</f>
      </c>
      <c r="CX54" s="4196"/>
      <c r="CY54" s="4196" t="str">
        <f>IF(T54="","",T54)</f>
        <v/>
      </c>
      <c r="CZ54" s="4196"/>
      <c r="DA54" s="4196"/>
      <c r="DB54" s="3858">
        <v>0</v>
      </c>
    </row>
    <row s="4290" customFormat="1" customHeight="1" ht="14.25">
      <c r="A55" s="4183"/>
      <c r="B55" s="4183"/>
      <c r="C55" s="4183"/>
      <c r="D55" s="4183"/>
      <c r="E55" s="4184"/>
      <c r="F55" s="4184"/>
      <c r="G55" s="4184"/>
      <c r="H55" s="4184"/>
      <c r="I55" s="4185"/>
      <c r="J55" s="4185" t="str">
        <f>I44&amp;".2"</f>
        <v>1.1.1.1.2</v>
      </c>
      <c r="K55" s="4186"/>
      <c r="L55" s="4187"/>
      <c r="M55" s="4188"/>
      <c r="N55" s="4188"/>
      <c r="O55" s="4188"/>
      <c r="P55" s="4189"/>
      <c r="Q55" s="4189"/>
      <c r="R55" s="4191"/>
      <c r="S55" s="4202"/>
      <c r="T55" s="4194"/>
      <c r="U55" s="4194"/>
      <c r="V55" s="3885"/>
      <c r="W55" s="3885"/>
      <c r="X55" s="3886" t="str">
        <f>Y54&amp;"-"&amp;AA54</f>
        <v>-</v>
      </c>
      <c r="Y55" s="3887"/>
      <c r="Z55" s="3881"/>
      <c r="AA55" s="3887"/>
      <c r="AB55" s="3881"/>
      <c r="AC55" s="3885"/>
      <c r="AD55" s="3885"/>
      <c r="AE55" s="3886" t="str">
        <f>AF54&amp;"-"&amp;AH54</f>
        <v>45292-45473</v>
      </c>
      <c r="AF55" s="3887"/>
      <c r="AG55" s="3881"/>
      <c r="AH55" s="4118"/>
      <c r="AI55" s="3881"/>
      <c r="AJ55" s="3885"/>
      <c r="AK55" s="3885"/>
      <c r="AL55" s="3886" t="str">
        <f>AM54&amp;"-"&amp;AO54</f>
        <v>45474-45657</v>
      </c>
      <c r="AM55" s="3887"/>
      <c r="AN55" s="3881"/>
      <c r="AO55" s="3887"/>
      <c r="AP55" s="3881"/>
      <c r="AQ55" s="3885"/>
      <c r="AR55" s="3885"/>
      <c r="AS55" s="3886" t="str">
        <f>AT54&amp;"-"&amp;AV54</f>
        <v>45658-45838</v>
      </c>
      <c r="AT55" s="3887"/>
      <c r="AU55" s="3881"/>
      <c r="AV55" s="3887"/>
      <c r="AW55" s="3881"/>
      <c r="AX55" s="3885"/>
      <c r="AY55" s="3885"/>
      <c r="AZ55" s="3886" t="str">
        <f>BA54&amp;"-"&amp;BC54</f>
        <v>45839-46022</v>
      </c>
      <c r="BA55" s="3887"/>
      <c r="BB55" s="3881"/>
      <c r="BC55" s="3887"/>
      <c r="BD55" s="3881"/>
      <c r="BE55" s="3885"/>
      <c r="BF55" s="3885"/>
      <c r="BG55" s="3886" t="str">
        <f>BH54&amp;"-"&amp;BJ54</f>
        <v>46023-46203</v>
      </c>
      <c r="BH55" s="3887"/>
      <c r="BI55" s="3881"/>
      <c r="BJ55" s="3887"/>
      <c r="BK55" s="3881"/>
      <c r="BL55" s="3885"/>
      <c r="BM55" s="3885"/>
      <c r="BN55" s="3886" t="str">
        <f>BO54&amp;"-"&amp;BQ54</f>
        <v>46204-46387</v>
      </c>
      <c r="BO55" s="3887"/>
      <c r="BP55" s="3881"/>
      <c r="BQ55" s="3887"/>
      <c r="BR55" s="3881"/>
      <c r="BS55" s="3885"/>
      <c r="BT55" s="3885"/>
      <c r="BU55" s="3886" t="str">
        <f>BV54&amp;"-"&amp;BX54</f>
        <v>46388-46568</v>
      </c>
      <c r="BV55" s="3887"/>
      <c r="BW55" s="3881"/>
      <c r="BX55" s="3887"/>
      <c r="BY55" s="3881"/>
      <c r="BZ55" s="3885"/>
      <c r="CA55" s="3885"/>
      <c r="CB55" s="3886" t="str">
        <f>CC54&amp;"-"&amp;CE54</f>
        <v>46388-46752</v>
      </c>
      <c r="CC55" s="3887"/>
      <c r="CD55" s="3881"/>
      <c r="CE55" s="3887"/>
      <c r="CF55" s="3881"/>
      <c r="CG55" s="3885"/>
      <c r="CH55" s="3885"/>
      <c r="CI55" s="3886" t="str">
        <f>CJ54&amp;"-"&amp;CL54</f>
        <v>46753-46934</v>
      </c>
      <c r="CJ55" s="3887"/>
      <c r="CK55" s="3881"/>
      <c r="CL55" s="3887"/>
      <c r="CM55" s="3881"/>
      <c r="CN55" s="3885"/>
      <c r="CO55" s="3885"/>
      <c r="CP55" s="3886" t="str">
        <f>CQ54&amp;"-"&amp;CS54</f>
        <v>46935-47118</v>
      </c>
      <c r="CQ55" s="3887"/>
      <c r="CR55" s="3881"/>
      <c r="CS55" s="3887"/>
      <c r="CT55" s="3881"/>
      <c r="CU55" s="4203"/>
      <c r="CV55" s="4200"/>
      <c r="CW55" s="4093"/>
      <c r="CX55" s="4196"/>
      <c r="CY55" s="4196" t="str">
        <f>IF(T55="","",T55)</f>
        <v/>
      </c>
      <c r="CZ55" s="4196"/>
      <c r="DA55" s="4196"/>
      <c r="DB55" s="3858">
        <v>0</v>
      </c>
    </row>
    <row s="4291" customFormat="1" customHeight="1" ht="21">
      <c r="A56" s="4183"/>
      <c r="B56" s="4183"/>
      <c r="C56" s="4183"/>
      <c r="D56" s="4183"/>
      <c r="E56" s="4184"/>
      <c r="F56" s="4184"/>
      <c r="G56" s="4184"/>
      <c r="H56" s="4184"/>
      <c r="I56" s="4185"/>
      <c r="J56" s="4186" t="str">
        <f>I44&amp;".2"</f>
        <v>1.1.1.1.2</v>
      </c>
      <c r="K56" s="4183"/>
      <c r="L56" s="4187"/>
      <c r="M56" s="4188"/>
      <c r="N56" s="4188"/>
      <c r="O56" s="4188"/>
      <c r="P56" s="4189"/>
      <c r="Q56" s="4189"/>
      <c r="R56" s="4205"/>
      <c r="S56" s="4292"/>
      <c r="T56" s="4293" t="s">
        <v>615</v>
      </c>
      <c r="U56" s="4294"/>
      <c r="V56" s="4295"/>
      <c r="W56" s="4296"/>
      <c r="X56" s="4297"/>
      <c r="Y56" s="4298"/>
      <c r="Z56" s="4299"/>
      <c r="AA56" s="4300"/>
      <c r="AB56" s="4301"/>
      <c r="AC56" s="4302"/>
      <c r="AD56" s="4303"/>
      <c r="AE56" s="4304"/>
      <c r="AF56" s="4305"/>
      <c r="AG56" s="4306"/>
      <c r="AH56" s="4307"/>
      <c r="AI56" s="4308"/>
      <c r="AJ56" s="4309"/>
      <c r="AK56" s="4310"/>
      <c r="AL56" s="4311"/>
      <c r="AM56" s="4312"/>
      <c r="AN56" s="4313"/>
      <c r="AO56" s="4314"/>
      <c r="AP56" s="4315"/>
      <c r="AQ56" s="4316"/>
      <c r="AR56" s="4317"/>
      <c r="AS56" s="4318"/>
      <c r="AT56" s="4319"/>
      <c r="AU56" s="4320"/>
      <c r="AV56" s="4321"/>
      <c r="AW56" s="4322"/>
      <c r="AX56" s="4323"/>
      <c r="AY56" s="4324"/>
      <c r="AZ56" s="4325"/>
      <c r="BA56" s="4326"/>
      <c r="BB56" s="4327"/>
      <c r="BC56" s="4328"/>
      <c r="BD56" s="4329"/>
      <c r="BE56" s="4330"/>
      <c r="BF56" s="4331"/>
      <c r="BG56" s="4332"/>
      <c r="BH56" s="4333"/>
      <c r="BI56" s="4334"/>
      <c r="BJ56" s="4335"/>
      <c r="BK56" s="4336"/>
      <c r="BL56" s="4337"/>
      <c r="BM56" s="4338"/>
      <c r="BN56" s="4339"/>
      <c r="BO56" s="4340"/>
      <c r="BP56" s="4341"/>
      <c r="BQ56" s="4342"/>
      <c r="BR56" s="4343"/>
      <c r="BS56" s="4344"/>
      <c r="BT56" s="4345"/>
      <c r="BU56" s="4346"/>
      <c r="BV56" s="4347"/>
      <c r="BW56" s="4348"/>
      <c r="BX56" s="4349"/>
      <c r="BY56" s="4350"/>
      <c r="BZ56" s="4351"/>
      <c r="CA56" s="4352"/>
      <c r="CB56" s="4353"/>
      <c r="CC56" s="4354"/>
      <c r="CD56" s="4355"/>
      <c r="CE56" s="4356"/>
      <c r="CF56" s="4357"/>
      <c r="CG56" s="4358"/>
      <c r="CH56" s="4359"/>
      <c r="CI56" s="4360"/>
      <c r="CJ56" s="4361"/>
      <c r="CK56" s="4362"/>
      <c r="CL56" s="4363"/>
      <c r="CM56" s="4364"/>
      <c r="CN56" s="4365"/>
      <c r="CO56" s="4366"/>
      <c r="CP56" s="4367"/>
      <c r="CQ56" s="4368"/>
      <c r="CR56" s="4369"/>
      <c r="CS56" s="4370"/>
      <c r="CT56" s="4371"/>
      <c r="CU56" s="4372"/>
      <c r="CV56" s="4287" t="s">
        <v>616</v>
      </c>
      <c r="CW56" s="4093"/>
      <c r="CX56" s="4196"/>
      <c r="CY56" s="4196" t="str">
        <f>IF(T56="","",T56)</f>
        <v>Добавить значение признака дифференциации</v>
      </c>
      <c r="CZ56" s="4196"/>
      <c r="DA56" s="4196"/>
      <c r="DB56" s="3858">
        <v>0</v>
      </c>
    </row>
    <row customHeight="1" ht="22.049999999999997">
      <c r="A57" s="1419" t="s">
        <v>299</v>
      </c>
      <c r="B57" s="1419" t="s">
        <v>300</v>
      </c>
      <c r="C57" s="1419" t="s">
        <v>301</v>
      </c>
      <c r="D57" s="1419" t="s">
        <v>624</v>
      </c>
      <c r="E57" s="2315"/>
      <c r="F57" s="2315"/>
      <c r="G57" s="2315"/>
      <c r="H57" s="2315"/>
      <c r="I57" s="2312"/>
      <c r="J57" s="1419"/>
      <c r="K57" s="1419"/>
      <c r="L57" s="1420"/>
      <c r="P57" s="2313"/>
      <c r="Q57" s="1410"/>
      <c r="R57" s="412"/>
      <c r="S57" s="1334"/>
      <c r="T57" s="421" t="s">
        <v>544</v>
      </c>
      <c r="U57" s="423"/>
      <c r="V57" s="423"/>
      <c r="W57" s="423"/>
      <c r="X57" s="423"/>
      <c r="Y57" s="423"/>
      <c r="Z57" s="423"/>
      <c r="AA57" s="423"/>
      <c r="AB57" s="422"/>
      <c r="AC57" s="423"/>
      <c r="AD57" s="423"/>
      <c r="AE57" s="423"/>
      <c r="AF57" s="423"/>
      <c r="AG57" s="423"/>
      <c r="AH57" s="423"/>
      <c r="AI57" s="422"/>
      <c r="AJ57" s="4373"/>
      <c r="AK57" s="4374"/>
      <c r="AL57" s="4375"/>
      <c r="AM57" s="4376"/>
      <c r="AN57" s="4377"/>
      <c r="AO57" s="4378"/>
      <c r="AP57" s="4379"/>
      <c r="AQ57" s="4380"/>
      <c r="AR57" s="4381"/>
      <c r="AS57" s="4382"/>
      <c r="AT57" s="4383"/>
      <c r="AU57" s="4384"/>
      <c r="AV57" s="4385"/>
      <c r="AW57" s="4386"/>
      <c r="AX57" s="4387"/>
      <c r="AY57" s="4388"/>
      <c r="AZ57" s="4389"/>
      <c r="BA57" s="4390"/>
      <c r="BB57" s="4391"/>
      <c r="BC57" s="4392"/>
      <c r="BD57" s="4393"/>
      <c r="BE57" s="4394"/>
      <c r="BF57" s="4395"/>
      <c r="BG57" s="4396"/>
      <c r="BH57" s="4397"/>
      <c r="BI57" s="4398"/>
      <c r="BJ57" s="4399"/>
      <c r="BK57" s="4400"/>
      <c r="BL57" s="4401"/>
      <c r="BM57" s="4402"/>
      <c r="BN57" s="4403"/>
      <c r="BO57" s="4404"/>
      <c r="BP57" s="4405"/>
      <c r="BQ57" s="4406"/>
      <c r="BR57" s="4407"/>
      <c r="BS57" s="4408"/>
      <c r="BT57" s="4409"/>
      <c r="BU57" s="4410"/>
      <c r="BV57" s="4411"/>
      <c r="BW57" s="4412"/>
      <c r="BX57" s="4413"/>
      <c r="BY57" s="4414"/>
      <c r="BZ57" s="4415"/>
      <c r="CA57" s="4416"/>
      <c r="CB57" s="4417"/>
      <c r="CC57" s="4418"/>
      <c r="CD57" s="4419"/>
      <c r="CE57" s="4420"/>
      <c r="CF57" s="4421"/>
      <c r="CG57" s="4422"/>
      <c r="CH57" s="4423"/>
      <c r="CI57" s="4424"/>
      <c r="CJ57" s="4425"/>
      <c r="CK57" s="4426"/>
      <c r="CL57" s="4427"/>
      <c r="CM57" s="4428"/>
      <c r="CN57" s="4429"/>
      <c r="CO57" s="4430"/>
      <c r="CP57" s="4431"/>
      <c r="CQ57" s="4432"/>
      <c r="CR57" s="4433"/>
      <c r="CS57" s="4434"/>
      <c r="CT57" s="4435"/>
      <c r="CU57" s="423"/>
      <c r="CV57" s="1496"/>
      <c r="CX57" s="556"/>
      <c r="CY57" s="556" t="str">
        <f>IF(T57="","",T57)</f>
        <v>Добавить группу потребителей</v>
      </c>
      <c r="CZ57" s="556"/>
      <c r="DA57" s="556"/>
      <c r="DB57" s="1211">
        <v>21</v>
      </c>
    </row>
    <row customHeight="1" ht="22.049999999999997">
      <c r="A58" s="1419" t="s">
        <v>299</v>
      </c>
      <c r="B58" s="1419" t="s">
        <v>300</v>
      </c>
      <c r="C58" s="1419" t="s">
        <v>301</v>
      </c>
      <c r="D58" s="1419" t="s">
        <v>624</v>
      </c>
      <c r="E58" s="2315"/>
      <c r="F58" s="2315"/>
      <c r="G58" s="2315"/>
      <c r="H58" s="2314"/>
      <c r="I58" s="1419"/>
      <c r="J58" s="1419"/>
      <c r="K58" s="1419"/>
      <c r="L58" s="1420"/>
      <c r="M58" s="1421"/>
      <c r="N58" s="1421"/>
      <c r="O58" s="593"/>
      <c r="P58" s="416"/>
      <c r="Q58" s="431"/>
      <c r="R58" s="411"/>
      <c r="S58" s="1334"/>
      <c r="T58" s="428" t="s">
        <v>617</v>
      </c>
      <c r="U58" s="423"/>
      <c r="V58" s="423"/>
      <c r="W58" s="423"/>
      <c r="X58" s="423"/>
      <c r="Y58" s="423"/>
      <c r="Z58" s="423"/>
      <c r="AA58" s="423"/>
      <c r="AB58" s="422"/>
      <c r="AC58" s="423"/>
      <c r="AD58" s="423"/>
      <c r="AE58" s="423"/>
      <c r="AF58" s="423"/>
      <c r="AG58" s="423"/>
      <c r="AH58" s="423"/>
      <c r="AI58" s="422"/>
      <c r="AJ58" s="4436"/>
      <c r="AK58" s="4437"/>
      <c r="AL58" s="4438"/>
      <c r="AM58" s="4439"/>
      <c r="AN58" s="4440"/>
      <c r="AO58" s="4441"/>
      <c r="AP58" s="4442"/>
      <c r="AQ58" s="4443"/>
      <c r="AR58" s="4444"/>
      <c r="AS58" s="4445"/>
      <c r="AT58" s="4446"/>
      <c r="AU58" s="4447"/>
      <c r="AV58" s="4448"/>
      <c r="AW58" s="4449"/>
      <c r="AX58" s="4450"/>
      <c r="AY58" s="4451"/>
      <c r="AZ58" s="4452"/>
      <c r="BA58" s="4453"/>
      <c r="BB58" s="4454"/>
      <c r="BC58" s="4455"/>
      <c r="BD58" s="4456"/>
      <c r="BE58" s="4457"/>
      <c r="BF58" s="4458"/>
      <c r="BG58" s="4459"/>
      <c r="BH58" s="4460"/>
      <c r="BI58" s="4461"/>
      <c r="BJ58" s="4462"/>
      <c r="BK58" s="4463"/>
      <c r="BL58" s="4464"/>
      <c r="BM58" s="4465"/>
      <c r="BN58" s="4466"/>
      <c r="BO58" s="4467"/>
      <c r="BP58" s="4468"/>
      <c r="BQ58" s="4469"/>
      <c r="BR58" s="4470"/>
      <c r="BS58" s="4471"/>
      <c r="BT58" s="4472"/>
      <c r="BU58" s="4473"/>
      <c r="BV58" s="4474"/>
      <c r="BW58" s="4475"/>
      <c r="BX58" s="4476"/>
      <c r="BY58" s="4477"/>
      <c r="BZ58" s="4478"/>
      <c r="CA58" s="4479"/>
      <c r="CB58" s="4480"/>
      <c r="CC58" s="4481"/>
      <c r="CD58" s="4482"/>
      <c r="CE58" s="4483"/>
      <c r="CF58" s="4484"/>
      <c r="CG58" s="4485"/>
      <c r="CH58" s="4486"/>
      <c r="CI58" s="4487"/>
      <c r="CJ58" s="4488"/>
      <c r="CK58" s="4489"/>
      <c r="CL58" s="4490"/>
      <c r="CM58" s="4491"/>
      <c r="CN58" s="4492"/>
      <c r="CO58" s="4493"/>
      <c r="CP58" s="4494"/>
      <c r="CQ58" s="4495"/>
      <c r="CR58" s="4496"/>
      <c r="CS58" s="4497"/>
      <c r="CT58" s="4498"/>
      <c r="CU58" s="423"/>
      <c r="CV58" s="359"/>
      <c r="CX58" s="556"/>
      <c r="CY58" s="556" t="str">
        <f>IF(T58="","",T58)</f>
        <v>Добавить наименование признака дифференциации</v>
      </c>
      <c r="CZ58" s="556"/>
      <c r="DA58" s="556"/>
      <c r="DB58" s="1211">
        <v>21</v>
      </c>
    </row>
    <row s="2851" customFormat="1" customHeight="1" ht="0">
      <c r="A59" s="1399" t="s">
        <v>299</v>
      </c>
      <c r="B59" s="1399" t="s">
        <v>300</v>
      </c>
      <c r="C59" s="1370"/>
      <c r="D59" s="1370"/>
      <c r="E59" s="2315"/>
      <c r="F59" s="2314"/>
      <c r="G59" s="1370"/>
      <c r="H59" s="1370"/>
      <c r="I59" s="1370"/>
      <c r="J59" s="1370"/>
      <c r="K59" s="1370"/>
      <c r="L59" s="1482"/>
      <c r="M59" s="1377"/>
      <c r="N59" s="1377"/>
      <c r="P59" s="1372"/>
      <c r="Q59" s="1373"/>
      <c r="R59" s="1372"/>
      <c r="S59" s="1378"/>
      <c r="T59" s="1381" t="s">
        <v>302</v>
      </c>
      <c r="U59" s="1380"/>
      <c r="V59" s="1380"/>
      <c r="W59" s="1380"/>
      <c r="X59" s="1380"/>
      <c r="Y59" s="1380"/>
      <c r="Z59" s="1380"/>
      <c r="AA59" s="1380"/>
      <c r="AB59" s="1380"/>
      <c r="AC59" s="1380"/>
      <c r="AD59" s="1380"/>
      <c r="AE59" s="1380"/>
      <c r="AF59" s="1380"/>
      <c r="AG59" s="1380"/>
      <c r="AH59" s="1380"/>
      <c r="AI59" s="1380"/>
      <c r="AJ59" s="4081"/>
      <c r="AK59" s="4081"/>
      <c r="AL59" s="4081"/>
      <c r="AM59" s="4081"/>
      <c r="AN59" s="4081"/>
      <c r="AO59" s="4081"/>
      <c r="AP59" s="4081"/>
      <c r="AQ59" s="4081"/>
      <c r="AR59" s="4081"/>
      <c r="AS59" s="4081"/>
      <c r="AT59" s="4081"/>
      <c r="AU59" s="4081"/>
      <c r="AV59" s="4081"/>
      <c r="AW59" s="4081"/>
      <c r="AX59" s="4081"/>
      <c r="AY59" s="4081"/>
      <c r="AZ59" s="4081"/>
      <c r="BA59" s="4081"/>
      <c r="BB59" s="4081"/>
      <c r="BC59" s="4081"/>
      <c r="BD59" s="4081"/>
      <c r="BE59" s="4081"/>
      <c r="BF59" s="4081"/>
      <c r="BG59" s="4081"/>
      <c r="BH59" s="4081"/>
      <c r="BI59" s="4081"/>
      <c r="BJ59" s="4081"/>
      <c r="BK59" s="4081"/>
      <c r="BL59" s="4081"/>
      <c r="BM59" s="4081"/>
      <c r="BN59" s="4081"/>
      <c r="BO59" s="4081"/>
      <c r="BP59" s="4081"/>
      <c r="BQ59" s="4081"/>
      <c r="BR59" s="4081"/>
      <c r="BS59" s="4081"/>
      <c r="BT59" s="4081"/>
      <c r="BU59" s="4081"/>
      <c r="BV59" s="4081"/>
      <c r="BW59" s="4081"/>
      <c r="BX59" s="4081"/>
      <c r="BY59" s="4081"/>
      <c r="BZ59" s="4081"/>
      <c r="CA59" s="4081"/>
      <c r="CB59" s="4081"/>
      <c r="CC59" s="4081"/>
      <c r="CD59" s="4081"/>
      <c r="CE59" s="4081"/>
      <c r="CF59" s="4081"/>
      <c r="CG59" s="4081"/>
      <c r="CH59" s="4081"/>
      <c r="CI59" s="4081"/>
      <c r="CJ59" s="4081"/>
      <c r="CK59" s="4081"/>
      <c r="CL59" s="4081"/>
      <c r="CM59" s="4081"/>
      <c r="CN59" s="4081"/>
      <c r="CO59" s="4081"/>
      <c r="CP59" s="4081"/>
      <c r="CQ59" s="4081"/>
      <c r="CR59" s="4081"/>
      <c r="CS59" s="4081"/>
      <c r="CT59" s="4081"/>
      <c r="CU59" s="1380"/>
      <c r="CV59" s="1380"/>
      <c r="CX59" s="845"/>
      <c r="CY59" s="845" t="str">
        <f>IF(T59="","",T59)</f>
        <v>Добавить централизованную систему для дифференциации</v>
      </c>
      <c r="CZ59" s="845"/>
      <c r="DA59" s="845"/>
      <c r="DB59" s="574">
        <v>0</v>
      </c>
    </row>
    <row s="4499" customFormat="1" customHeight="1" ht="23.25">
      <c r="A60" s="4183"/>
      <c r="B60" s="4183" t="s">
        <v>303</v>
      </c>
      <c r="C60" s="4183"/>
      <c r="D60" s="4183"/>
      <c r="E60" s="4184"/>
      <c r="F60" s="4500" t="s">
        <v>108</v>
      </c>
      <c r="G60" s="4183"/>
      <c r="H60" s="4183"/>
      <c r="I60" s="4183"/>
      <c r="J60" s="4183"/>
      <c r="K60" s="4183"/>
      <c r="L60" s="4187"/>
      <c r="M60" s="4501"/>
      <c r="N60" s="4501"/>
      <c r="O60" s="4501"/>
      <c r="P60" s="4502"/>
      <c r="Q60" s="4503"/>
      <c r="R60" s="4504"/>
      <c r="S60" s="4192" t="str">
        <f>INDEX(PT_DIFFERENTIATION_NUM_TER,MATCH(B60,PT_DIFFERENTIATION_TER_ID,0))</f>
        <v>1.2</v>
      </c>
      <c r="T60" s="4505" t="s">
        <v>529</v>
      </c>
      <c r="U60" s="4194"/>
      <c r="V60" s="3860"/>
      <c r="W60" s="3861"/>
      <c r="X60" s="3861"/>
      <c r="Y60" s="3861"/>
      <c r="Z60" s="3861"/>
      <c r="AA60" s="3861"/>
      <c r="AB60" s="3862"/>
      <c r="AC60" s="3860" t="str">
        <f>INDEX(PT_DIFFERENTIATION_TER,MATCH(B60,PT_DIFFERENTIATION_TER_ID,0))</f>
        <v>Территория 2</v>
      </c>
      <c r="AD60" s="3861"/>
      <c r="AE60" s="3861"/>
      <c r="AF60" s="3861"/>
      <c r="AG60" s="3861"/>
      <c r="AH60" s="3861"/>
      <c r="AI60" s="3861"/>
      <c r="AJ60" s="3860"/>
      <c r="AK60" s="3861"/>
      <c r="AL60" s="3861"/>
      <c r="AM60" s="3861"/>
      <c r="AN60" s="3861"/>
      <c r="AO60" s="3861"/>
      <c r="AP60" s="3862"/>
      <c r="AQ60" s="3860"/>
      <c r="AR60" s="3861"/>
      <c r="AS60" s="3861"/>
      <c r="AT60" s="3861"/>
      <c r="AU60" s="3861"/>
      <c r="AV60" s="3861"/>
      <c r="AW60" s="3862"/>
      <c r="AX60" s="3860"/>
      <c r="AY60" s="3861"/>
      <c r="AZ60" s="3861"/>
      <c r="BA60" s="3861"/>
      <c r="BB60" s="3861"/>
      <c r="BC60" s="3861"/>
      <c r="BD60" s="3862"/>
      <c r="BE60" s="3860"/>
      <c r="BF60" s="3861"/>
      <c r="BG60" s="3861"/>
      <c r="BH60" s="3861"/>
      <c r="BI60" s="3861"/>
      <c r="BJ60" s="3861"/>
      <c r="BK60" s="3862"/>
      <c r="BL60" s="3860"/>
      <c r="BM60" s="3861"/>
      <c r="BN60" s="3861"/>
      <c r="BO60" s="3861"/>
      <c r="BP60" s="3861"/>
      <c r="BQ60" s="3861"/>
      <c r="BR60" s="3862"/>
      <c r="BS60" s="3860"/>
      <c r="BT60" s="3861"/>
      <c r="BU60" s="3861"/>
      <c r="BV60" s="3861"/>
      <c r="BW60" s="3861"/>
      <c r="BX60" s="3861"/>
      <c r="BY60" s="3862"/>
      <c r="BZ60" s="3860"/>
      <c r="CA60" s="3861"/>
      <c r="CB60" s="3861"/>
      <c r="CC60" s="3861"/>
      <c r="CD60" s="3861"/>
      <c r="CE60" s="3861"/>
      <c r="CF60" s="3862"/>
      <c r="CG60" s="3860"/>
      <c r="CH60" s="3861"/>
      <c r="CI60" s="3861"/>
      <c r="CJ60" s="3861"/>
      <c r="CK60" s="3861"/>
      <c r="CL60" s="3861"/>
      <c r="CM60" s="3862"/>
      <c r="CN60" s="3860"/>
      <c r="CO60" s="3861"/>
      <c r="CP60" s="3861"/>
      <c r="CQ60" s="3861"/>
      <c r="CR60" s="3861"/>
      <c r="CS60" s="3861"/>
      <c r="CT60" s="3862"/>
      <c r="CU60" s="3862"/>
      <c r="CV60" s="4287" t="s">
        <v>530</v>
      </c>
      <c r="CW60" s="4093"/>
      <c r="CX60" s="4196"/>
      <c r="CY60" s="4196" t="str">
        <f>IF(T60="","",T60)</f>
        <v>Территория действия тарифа</v>
      </c>
      <c r="CZ60" s="4196"/>
      <c r="DA60" s="4196"/>
      <c r="DB60" s="3858">
        <v>0</v>
      </c>
    </row>
    <row s="4506" customFormat="1" customHeight="1" ht="23.25">
      <c r="A61" s="4183"/>
      <c r="B61" s="4183"/>
      <c r="C61" s="4183" t="s">
        <v>304</v>
      </c>
      <c r="D61" s="4183"/>
      <c r="E61" s="4184"/>
      <c r="F61" s="4184">
        <v>1</v>
      </c>
      <c r="G61" s="4500">
        <v>1</v>
      </c>
      <c r="H61" s="4183"/>
      <c r="I61" s="4183"/>
      <c r="J61" s="4183"/>
      <c r="K61" s="4183"/>
      <c r="L61" s="4187"/>
      <c r="M61" s="4501"/>
      <c r="N61" s="4501"/>
      <c r="O61" s="4501"/>
      <c r="P61" s="4507"/>
      <c r="Q61" s="4503"/>
      <c r="R61" s="4504"/>
      <c r="S61" s="4192" t="str">
        <f>INDEX(PT_DIFFERENTIATION_NUM_CS,MATCH(C61,PT_DIFFERENTIATION_CS_ID,0))</f>
        <v>1.2.1</v>
      </c>
      <c r="T61" s="4508" t="s">
        <v>610</v>
      </c>
      <c r="U61" s="4194"/>
      <c r="V61" s="3860"/>
      <c r="W61" s="3861"/>
      <c r="X61" s="3861"/>
      <c r="Y61" s="3861"/>
      <c r="Z61" s="3861"/>
      <c r="AA61" s="3861"/>
      <c r="AB61" s="3862"/>
      <c r="AC61" s="3860" t="str">
        <f>INDEX(PT_DIFFERENTIATION_CS,MATCH(C61,PT_DIFFERENTIATION_CS_ID,0))</f>
        <v>без дифференциации</v>
      </c>
      <c r="AD61" s="3861"/>
      <c r="AE61" s="3861"/>
      <c r="AF61" s="3861"/>
      <c r="AG61" s="3861"/>
      <c r="AH61" s="3861"/>
      <c r="AI61" s="3861"/>
      <c r="AJ61" s="3860"/>
      <c r="AK61" s="3861"/>
      <c r="AL61" s="3861"/>
      <c r="AM61" s="3861"/>
      <c r="AN61" s="3861"/>
      <c r="AO61" s="3861"/>
      <c r="AP61" s="3862"/>
      <c r="AQ61" s="3860"/>
      <c r="AR61" s="3861"/>
      <c r="AS61" s="3861"/>
      <c r="AT61" s="3861"/>
      <c r="AU61" s="3861"/>
      <c r="AV61" s="3861"/>
      <c r="AW61" s="3862"/>
      <c r="AX61" s="3860"/>
      <c r="AY61" s="3861"/>
      <c r="AZ61" s="3861"/>
      <c r="BA61" s="3861"/>
      <c r="BB61" s="3861"/>
      <c r="BC61" s="3861"/>
      <c r="BD61" s="3862"/>
      <c r="BE61" s="3860"/>
      <c r="BF61" s="3861"/>
      <c r="BG61" s="3861"/>
      <c r="BH61" s="3861"/>
      <c r="BI61" s="3861"/>
      <c r="BJ61" s="3861"/>
      <c r="BK61" s="3862"/>
      <c r="BL61" s="3860"/>
      <c r="BM61" s="3861"/>
      <c r="BN61" s="3861"/>
      <c r="BO61" s="3861"/>
      <c r="BP61" s="3861"/>
      <c r="BQ61" s="3861"/>
      <c r="BR61" s="3862"/>
      <c r="BS61" s="3860"/>
      <c r="BT61" s="3861"/>
      <c r="BU61" s="3861"/>
      <c r="BV61" s="3861"/>
      <c r="BW61" s="3861"/>
      <c r="BX61" s="3861"/>
      <c r="BY61" s="3862"/>
      <c r="BZ61" s="3860"/>
      <c r="CA61" s="3861"/>
      <c r="CB61" s="3861"/>
      <c r="CC61" s="3861"/>
      <c r="CD61" s="3861"/>
      <c r="CE61" s="3861"/>
      <c r="CF61" s="3862"/>
      <c r="CG61" s="3860"/>
      <c r="CH61" s="3861"/>
      <c r="CI61" s="3861"/>
      <c r="CJ61" s="3861"/>
      <c r="CK61" s="3861"/>
      <c r="CL61" s="3861"/>
      <c r="CM61" s="3862"/>
      <c r="CN61" s="3860"/>
      <c r="CO61" s="3861"/>
      <c r="CP61" s="3861"/>
      <c r="CQ61" s="3861"/>
      <c r="CR61" s="3861"/>
      <c r="CS61" s="3861"/>
      <c r="CT61" s="3862"/>
      <c r="CU61" s="3862"/>
      <c r="CV61" s="4287" t="s">
        <v>611</v>
      </c>
      <c r="CW61" s="4093"/>
      <c r="CX61" s="4196"/>
      <c r="CY61" s="4196" t="str">
        <f>IF(T61="","",T61)</f>
        <v>Наименование централизованной системы холодного водоснабжения</v>
      </c>
      <c r="CZ61" s="4196"/>
      <c r="DA61" s="4196"/>
      <c r="DB61" s="3858">
        <v>0</v>
      </c>
    </row>
    <row s="4509" customFormat="1" customHeight="1" ht="23.25">
      <c r="A62" s="4183"/>
      <c r="B62" s="4183"/>
      <c r="C62" s="4183"/>
      <c r="D62" s="4183"/>
      <c r="E62" s="4184"/>
      <c r="F62" s="4184">
        <v>1</v>
      </c>
      <c r="G62" s="4184"/>
      <c r="H62" s="4184"/>
      <c r="I62" s="4186" t="str">
        <f>S61&amp;".1"</f>
        <v>1.2.1.1</v>
      </c>
      <c r="J62" s="4183"/>
      <c r="K62" s="4183"/>
      <c r="L62" s="4187"/>
      <c r="M62" s="4188"/>
      <c r="N62" s="4188"/>
      <c r="O62" s="4188"/>
      <c r="P62" s="4189">
        <v>1</v>
      </c>
      <c r="Q62" s="4189"/>
      <c r="R62" s="4205"/>
      <c r="S62" s="4192" t="str">
        <f>$I62</f>
        <v>1.2.1.1</v>
      </c>
      <c r="T62" s="4510" t="s">
        <v>612</v>
      </c>
      <c r="U62" s="4194"/>
      <c r="V62" s="3870"/>
      <c r="W62" s="3871"/>
      <c r="X62" s="3871"/>
      <c r="Y62" s="3871"/>
      <c r="Z62" s="3871"/>
      <c r="AA62" s="3871"/>
      <c r="AB62" s="3872"/>
      <c r="AC62" s="4511"/>
      <c r="AD62" s="4512"/>
      <c r="AE62" s="4512"/>
      <c r="AF62" s="4512"/>
      <c r="AG62" s="4512"/>
      <c r="AH62" s="4512"/>
      <c r="AI62" s="4512"/>
      <c r="AJ62" s="3870"/>
      <c r="AK62" s="3871"/>
      <c r="AL62" s="3871"/>
      <c r="AM62" s="3871"/>
      <c r="AN62" s="3871"/>
      <c r="AO62" s="3871"/>
      <c r="AP62" s="3872"/>
      <c r="AQ62" s="3870"/>
      <c r="AR62" s="3871"/>
      <c r="AS62" s="3871"/>
      <c r="AT62" s="3871"/>
      <c r="AU62" s="3871"/>
      <c r="AV62" s="3871"/>
      <c r="AW62" s="3872"/>
      <c r="AX62" s="3870"/>
      <c r="AY62" s="3871"/>
      <c r="AZ62" s="3871"/>
      <c r="BA62" s="3871"/>
      <c r="BB62" s="3871"/>
      <c r="BC62" s="3871"/>
      <c r="BD62" s="3872"/>
      <c r="BE62" s="3870"/>
      <c r="BF62" s="3871"/>
      <c r="BG62" s="3871"/>
      <c r="BH62" s="3871"/>
      <c r="BI62" s="3871"/>
      <c r="BJ62" s="3871"/>
      <c r="BK62" s="3872"/>
      <c r="BL62" s="3870"/>
      <c r="BM62" s="3871"/>
      <c r="BN62" s="3871"/>
      <c r="BO62" s="3871"/>
      <c r="BP62" s="3871"/>
      <c r="BQ62" s="3871"/>
      <c r="BR62" s="3872"/>
      <c r="BS62" s="3870"/>
      <c r="BT62" s="3871"/>
      <c r="BU62" s="3871"/>
      <c r="BV62" s="3871"/>
      <c r="BW62" s="3871"/>
      <c r="BX62" s="3871"/>
      <c r="BY62" s="3872"/>
      <c r="BZ62" s="3870"/>
      <c r="CA62" s="3871"/>
      <c r="CB62" s="3871"/>
      <c r="CC62" s="3871"/>
      <c r="CD62" s="3871"/>
      <c r="CE62" s="3871"/>
      <c r="CF62" s="3872"/>
      <c r="CG62" s="3870"/>
      <c r="CH62" s="3871"/>
      <c r="CI62" s="3871"/>
      <c r="CJ62" s="3871"/>
      <c r="CK62" s="3871"/>
      <c r="CL62" s="3871"/>
      <c r="CM62" s="3872"/>
      <c r="CN62" s="3870"/>
      <c r="CO62" s="3871"/>
      <c r="CP62" s="3871"/>
      <c r="CQ62" s="3871"/>
      <c r="CR62" s="3871"/>
      <c r="CS62" s="3871"/>
      <c r="CT62" s="3872"/>
      <c r="CU62" s="4513"/>
      <c r="CV62" s="4287" t="s">
        <v>613</v>
      </c>
      <c r="CW62" s="4093"/>
      <c r="CX62" s="4196"/>
      <c r="CY62" s="4196" t="str">
        <f>IF(T62="","",T62)</f>
        <v>Наименование признака дифференциации</v>
      </c>
      <c r="CZ62" s="4196"/>
      <c r="DA62" s="4196"/>
      <c r="DB62" s="3858">
        <v>0</v>
      </c>
    </row>
    <row s="4514" customFormat="1" customHeight="1" ht="23.25">
      <c r="A63" s="4183"/>
      <c r="B63" s="4183"/>
      <c r="C63" s="4183"/>
      <c r="D63" s="4183"/>
      <c r="E63" s="4184"/>
      <c r="F63" s="4184">
        <v>1</v>
      </c>
      <c r="G63" s="4184"/>
      <c r="H63" s="4184"/>
      <c r="I63" s="4185"/>
      <c r="J63" s="4186" t="str">
        <f>I62&amp;".1"</f>
        <v>1.2.1.1.1</v>
      </c>
      <c r="K63" s="4183"/>
      <c r="L63" s="4187" t="s">
        <v>538</v>
      </c>
      <c r="M63" s="4188"/>
      <c r="N63" s="4188"/>
      <c r="O63" s="4188"/>
      <c r="P63" s="4189"/>
      <c r="Q63" s="4189">
        <v>1</v>
      </c>
      <c r="R63" s="4191"/>
      <c r="S63" s="4192" t="str">
        <f>$J63</f>
        <v>1.2.1.1.1</v>
      </c>
      <c r="T63" s="4193" t="s">
        <v>539</v>
      </c>
      <c r="U63" s="4194"/>
      <c r="V63" s="3874"/>
      <c r="W63" s="3875"/>
      <c r="X63" s="3875"/>
      <c r="Y63" s="3875"/>
      <c r="Z63" s="3875"/>
      <c r="AA63" s="3875"/>
      <c r="AB63" s="3876"/>
      <c r="AC63" s="3874" t="s">
        <v>625</v>
      </c>
      <c r="AD63" s="3875"/>
      <c r="AE63" s="3875"/>
      <c r="AF63" s="3875"/>
      <c r="AG63" s="3875"/>
      <c r="AH63" s="3875"/>
      <c r="AI63" s="3875"/>
      <c r="AJ63" s="3874"/>
      <c r="AK63" s="3875"/>
      <c r="AL63" s="3875"/>
      <c r="AM63" s="3875"/>
      <c r="AN63" s="3875"/>
      <c r="AO63" s="3875"/>
      <c r="AP63" s="3876"/>
      <c r="AQ63" s="3874"/>
      <c r="AR63" s="3875"/>
      <c r="AS63" s="3875"/>
      <c r="AT63" s="3875"/>
      <c r="AU63" s="3875"/>
      <c r="AV63" s="3875"/>
      <c r="AW63" s="3876"/>
      <c r="AX63" s="3874"/>
      <c r="AY63" s="3875"/>
      <c r="AZ63" s="3875"/>
      <c r="BA63" s="3875"/>
      <c r="BB63" s="3875"/>
      <c r="BC63" s="3875"/>
      <c r="BD63" s="3876"/>
      <c r="BE63" s="3874"/>
      <c r="BF63" s="3875"/>
      <c r="BG63" s="3875"/>
      <c r="BH63" s="3875"/>
      <c r="BI63" s="3875"/>
      <c r="BJ63" s="3875"/>
      <c r="BK63" s="3876"/>
      <c r="BL63" s="3874"/>
      <c r="BM63" s="3875"/>
      <c r="BN63" s="3875"/>
      <c r="BO63" s="3875"/>
      <c r="BP63" s="3875"/>
      <c r="BQ63" s="3875"/>
      <c r="BR63" s="3876"/>
      <c r="BS63" s="3874"/>
      <c r="BT63" s="3875"/>
      <c r="BU63" s="3875"/>
      <c r="BV63" s="3875"/>
      <c r="BW63" s="3875"/>
      <c r="BX63" s="3875"/>
      <c r="BY63" s="3876"/>
      <c r="BZ63" s="3874"/>
      <c r="CA63" s="3875"/>
      <c r="CB63" s="3875"/>
      <c r="CC63" s="3875"/>
      <c r="CD63" s="3875"/>
      <c r="CE63" s="3875"/>
      <c r="CF63" s="3876"/>
      <c r="CG63" s="3874"/>
      <c r="CH63" s="3875"/>
      <c r="CI63" s="3875"/>
      <c r="CJ63" s="3875"/>
      <c r="CK63" s="3875"/>
      <c r="CL63" s="3875"/>
      <c r="CM63" s="3876"/>
      <c r="CN63" s="3874"/>
      <c r="CO63" s="3875"/>
      <c r="CP63" s="3875"/>
      <c r="CQ63" s="3875"/>
      <c r="CR63" s="3875"/>
      <c r="CS63" s="3875"/>
      <c r="CT63" s="3876"/>
      <c r="CU63" s="3876"/>
      <c r="CV63" s="4195" t="s">
        <v>614</v>
      </c>
      <c r="CW63" s="4093"/>
      <c r="CX63" s="4196"/>
      <c r="CY63" s="4196" t="str">
        <f>IF(T63="","",T63)</f>
        <v>Группа потребителей</v>
      </c>
      <c r="CZ63" s="4196"/>
      <c r="DA63" s="4196"/>
      <c r="DB63" s="3858">
        <v>0</v>
      </c>
    </row>
    <row s="4515" customFormat="1" customHeight="1" ht="23.25">
      <c r="A64" s="4183"/>
      <c r="B64" s="4183"/>
      <c r="C64" s="4183"/>
      <c r="D64" s="4183"/>
      <c r="E64" s="4184"/>
      <c r="F64" s="4184">
        <v>1</v>
      </c>
      <c r="G64" s="4184"/>
      <c r="H64" s="4184"/>
      <c r="I64" s="4185"/>
      <c r="J64" s="4185"/>
      <c r="K64" s="4186" t="str">
        <f>J63&amp;".1"</f>
        <v>1.2.1.1.1.1</v>
      </c>
      <c r="L64" s="4187"/>
      <c r="M64" s="4188"/>
      <c r="N64" s="4188"/>
      <c r="O64" s="4188"/>
      <c r="P64" s="4189"/>
      <c r="Q64" s="4189"/>
      <c r="R64" s="4191">
        <v>1</v>
      </c>
      <c r="S64" s="4192" t="str">
        <f>$K64</f>
        <v>1.2.1.1.1.1</v>
      </c>
      <c r="T64" s="4198"/>
      <c r="U64" s="4194"/>
      <c r="V64" s="3878"/>
      <c r="W64" s="3878"/>
      <c r="X64" s="3879"/>
      <c r="Y64" s="3880"/>
      <c r="Z64" s="3881" t="s">
        <v>65</v>
      </c>
      <c r="AA64" s="3880"/>
      <c r="AB64" s="3881" t="s">
        <v>65</v>
      </c>
      <c r="AC64" s="3878">
        <v>49.68</v>
      </c>
      <c r="AD64" s="3878"/>
      <c r="AE64" s="3879"/>
      <c r="AF64" s="3880">
        <v>45292</v>
      </c>
      <c r="AG64" s="3881" t="s">
        <v>65</v>
      </c>
      <c r="AH64" s="4116">
        <v>45473</v>
      </c>
      <c r="AI64" s="3881" t="s">
        <v>65</v>
      </c>
      <c r="AJ64" s="3878">
        <v>54.69</v>
      </c>
      <c r="AK64" s="3878"/>
      <c r="AL64" s="3879"/>
      <c r="AM64" s="3880">
        <v>45474</v>
      </c>
      <c r="AN64" s="3881" t="s">
        <v>65</v>
      </c>
      <c r="AO64" s="3880">
        <v>45657</v>
      </c>
      <c r="AP64" s="3881" t="s">
        <v>65</v>
      </c>
      <c r="AQ64" s="3878">
        <v>54.69</v>
      </c>
      <c r="AR64" s="3878"/>
      <c r="AS64" s="3879"/>
      <c r="AT64" s="3880">
        <v>45658</v>
      </c>
      <c r="AU64" s="3881" t="s">
        <v>65</v>
      </c>
      <c r="AV64" s="3880">
        <v>45838</v>
      </c>
      <c r="AW64" s="3881" t="s">
        <v>65</v>
      </c>
      <c r="AX64" s="3878">
        <v>60.3</v>
      </c>
      <c r="AY64" s="3878"/>
      <c r="AZ64" s="3879"/>
      <c r="BA64" s="3880">
        <v>45839</v>
      </c>
      <c r="BB64" s="3881" t="s">
        <v>65</v>
      </c>
      <c r="BC64" s="3880">
        <v>46022</v>
      </c>
      <c r="BD64" s="3881" t="s">
        <v>65</v>
      </c>
      <c r="BE64" s="3878">
        <v>57.81</v>
      </c>
      <c r="BF64" s="3878"/>
      <c r="BG64" s="3879"/>
      <c r="BH64" s="3880">
        <v>46023</v>
      </c>
      <c r="BI64" s="3881" t="s">
        <v>65</v>
      </c>
      <c r="BJ64" s="3880">
        <v>46203</v>
      </c>
      <c r="BK64" s="3881" t="s">
        <v>65</v>
      </c>
      <c r="BL64" s="3878">
        <v>60.12</v>
      </c>
      <c r="BM64" s="3878"/>
      <c r="BN64" s="3879"/>
      <c r="BO64" s="3880">
        <v>46204</v>
      </c>
      <c r="BP64" s="3881" t="s">
        <v>65</v>
      </c>
      <c r="BQ64" s="3880">
        <v>46387</v>
      </c>
      <c r="BR64" s="3881" t="s">
        <v>65</v>
      </c>
      <c r="BS64" s="3878">
        <v>60.12</v>
      </c>
      <c r="BT64" s="3878"/>
      <c r="BU64" s="3879"/>
      <c r="BV64" s="3880">
        <v>46388</v>
      </c>
      <c r="BW64" s="3881" t="s">
        <v>65</v>
      </c>
      <c r="BX64" s="3880">
        <v>46568</v>
      </c>
      <c r="BY64" s="3881" t="s">
        <v>65</v>
      </c>
      <c r="BZ64" s="3878">
        <v>62.52</v>
      </c>
      <c r="CA64" s="3878"/>
      <c r="CB64" s="3879"/>
      <c r="CC64" s="3880">
        <v>46388</v>
      </c>
      <c r="CD64" s="3881" t="s">
        <v>65</v>
      </c>
      <c r="CE64" s="3880">
        <v>46752</v>
      </c>
      <c r="CF64" s="3881" t="s">
        <v>65</v>
      </c>
      <c r="CG64" s="3878">
        <v>62.52</v>
      </c>
      <c r="CH64" s="3878"/>
      <c r="CI64" s="3879"/>
      <c r="CJ64" s="3880">
        <v>46753</v>
      </c>
      <c r="CK64" s="3881" t="s">
        <v>65</v>
      </c>
      <c r="CL64" s="3880">
        <v>46934</v>
      </c>
      <c r="CM64" s="3881" t="s">
        <v>65</v>
      </c>
      <c r="CN64" s="3878">
        <v>65.02</v>
      </c>
      <c r="CO64" s="3878"/>
      <c r="CP64" s="3879"/>
      <c r="CQ64" s="3880">
        <v>46935</v>
      </c>
      <c r="CR64" s="3881" t="s">
        <v>65</v>
      </c>
      <c r="CS64" s="3880">
        <v>47118</v>
      </c>
      <c r="CT64" s="3881" t="s">
        <v>65</v>
      </c>
      <c r="CU64" s="4199"/>
      <c r="CV6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4" s="4093">
        <f>STRCHECKDATE(V65:CU65)</f>
      </c>
      <c r="CX64" s="4196"/>
      <c r="CY64" s="4196" t="str">
        <f>IF(T64="","",T64)</f>
        <v/>
      </c>
      <c r="CZ64" s="4196"/>
      <c r="DA64" s="4196"/>
      <c r="DB64" s="3858">
        <v>0</v>
      </c>
    </row>
    <row s="4516" customFormat="1" customHeight="1" ht="14.25">
      <c r="A65" s="4183"/>
      <c r="B65" s="4183"/>
      <c r="C65" s="4183"/>
      <c r="D65" s="4183"/>
      <c r="E65" s="4184"/>
      <c r="F65" s="4184">
        <v>1</v>
      </c>
      <c r="G65" s="4184"/>
      <c r="H65" s="4184"/>
      <c r="I65" s="4185"/>
      <c r="J65" s="4185"/>
      <c r="K65" s="4186"/>
      <c r="L65" s="4187"/>
      <c r="M65" s="4188"/>
      <c r="N65" s="4188"/>
      <c r="O65" s="4188"/>
      <c r="P65" s="4189"/>
      <c r="Q65" s="4189"/>
      <c r="R65" s="4191"/>
      <c r="S65" s="4202"/>
      <c r="T65" s="4194"/>
      <c r="U65" s="4194"/>
      <c r="V65" s="3885"/>
      <c r="W65" s="3885"/>
      <c r="X65" s="3886" t="str">
        <f>Y64&amp;"-"&amp;AA64</f>
        <v>-</v>
      </c>
      <c r="Y65" s="3887"/>
      <c r="Z65" s="3881"/>
      <c r="AA65" s="3887"/>
      <c r="AB65" s="3881"/>
      <c r="AC65" s="3885"/>
      <c r="AD65" s="3885"/>
      <c r="AE65" s="3886" t="str">
        <f>AF64&amp;"-"&amp;AH64</f>
        <v>45292-45473</v>
      </c>
      <c r="AF65" s="3887"/>
      <c r="AG65" s="3881"/>
      <c r="AH65" s="4118"/>
      <c r="AI65" s="3881"/>
      <c r="AJ65" s="3885"/>
      <c r="AK65" s="3885"/>
      <c r="AL65" s="3886" t="str">
        <f>AM64&amp;"-"&amp;AO64</f>
        <v>45474-45657</v>
      </c>
      <c r="AM65" s="3887"/>
      <c r="AN65" s="3881"/>
      <c r="AO65" s="3887"/>
      <c r="AP65" s="3881"/>
      <c r="AQ65" s="3885"/>
      <c r="AR65" s="3885"/>
      <c r="AS65" s="3886" t="str">
        <f>AT64&amp;"-"&amp;AV64</f>
        <v>45658-45838</v>
      </c>
      <c r="AT65" s="3887"/>
      <c r="AU65" s="3881"/>
      <c r="AV65" s="3887"/>
      <c r="AW65" s="3881"/>
      <c r="AX65" s="3885"/>
      <c r="AY65" s="3885"/>
      <c r="AZ65" s="3886" t="str">
        <f>BA64&amp;"-"&amp;BC64</f>
        <v>45839-46022</v>
      </c>
      <c r="BA65" s="3887"/>
      <c r="BB65" s="3881"/>
      <c r="BC65" s="3887"/>
      <c r="BD65" s="3881"/>
      <c r="BE65" s="3885"/>
      <c r="BF65" s="3885"/>
      <c r="BG65" s="3886" t="str">
        <f>BH64&amp;"-"&amp;BJ64</f>
        <v>46023-46203</v>
      </c>
      <c r="BH65" s="3887"/>
      <c r="BI65" s="3881"/>
      <c r="BJ65" s="3887"/>
      <c r="BK65" s="3881"/>
      <c r="BL65" s="3885"/>
      <c r="BM65" s="3885"/>
      <c r="BN65" s="3886" t="str">
        <f>BO64&amp;"-"&amp;BQ64</f>
        <v>46204-46387</v>
      </c>
      <c r="BO65" s="3887"/>
      <c r="BP65" s="3881"/>
      <c r="BQ65" s="3887"/>
      <c r="BR65" s="3881"/>
      <c r="BS65" s="3885"/>
      <c r="BT65" s="3885"/>
      <c r="BU65" s="3886" t="str">
        <f>BV64&amp;"-"&amp;BX64</f>
        <v>46388-46568</v>
      </c>
      <c r="BV65" s="3887"/>
      <c r="BW65" s="3881"/>
      <c r="BX65" s="3887"/>
      <c r="BY65" s="3881"/>
      <c r="BZ65" s="3885"/>
      <c r="CA65" s="3885"/>
      <c r="CB65" s="3886" t="str">
        <f>CC64&amp;"-"&amp;CE64</f>
        <v>46388-46752</v>
      </c>
      <c r="CC65" s="3887"/>
      <c r="CD65" s="3881"/>
      <c r="CE65" s="3887"/>
      <c r="CF65" s="3881"/>
      <c r="CG65" s="3885"/>
      <c r="CH65" s="3885"/>
      <c r="CI65" s="3886" t="str">
        <f>CJ64&amp;"-"&amp;CL64</f>
        <v>46753-46934</v>
      </c>
      <c r="CJ65" s="3887"/>
      <c r="CK65" s="3881"/>
      <c r="CL65" s="3887"/>
      <c r="CM65" s="3881"/>
      <c r="CN65" s="3885"/>
      <c r="CO65" s="3885"/>
      <c r="CP65" s="3886" t="str">
        <f>CQ64&amp;"-"&amp;CS64</f>
        <v>46935-47118</v>
      </c>
      <c r="CQ65" s="3887"/>
      <c r="CR65" s="3881"/>
      <c r="CS65" s="3887"/>
      <c r="CT65" s="3881"/>
      <c r="CU65" s="4203"/>
      <c r="CV65" s="4200"/>
      <c r="CW65" s="4093"/>
      <c r="CX65" s="4196"/>
      <c r="CY65" s="4196" t="str">
        <f>IF(T65="","",T65)</f>
        <v/>
      </c>
      <c r="CZ65" s="4196"/>
      <c r="DA65" s="4196"/>
      <c r="DB65" s="3858">
        <v>0</v>
      </c>
    </row>
    <row s="4517" customFormat="1" customHeight="1" ht="21">
      <c r="A66" s="4183"/>
      <c r="B66" s="4183"/>
      <c r="C66" s="4183"/>
      <c r="D66" s="4183"/>
      <c r="E66" s="4184"/>
      <c r="F66" s="4184">
        <v>1</v>
      </c>
      <c r="G66" s="4184"/>
      <c r="H66" s="4184"/>
      <c r="I66" s="4185"/>
      <c r="J66" s="4186"/>
      <c r="K66" s="4183"/>
      <c r="L66" s="4187"/>
      <c r="M66" s="4188"/>
      <c r="N66" s="4188"/>
      <c r="O66" s="4188"/>
      <c r="P66" s="4189"/>
      <c r="Q66" s="4189"/>
      <c r="R66" s="4205"/>
      <c r="S66" s="4518"/>
      <c r="T66" s="4519" t="s">
        <v>615</v>
      </c>
      <c r="U66" s="4520"/>
      <c r="V66" s="4521"/>
      <c r="W66" s="4522"/>
      <c r="X66" s="4523"/>
      <c r="Y66" s="4524"/>
      <c r="Z66" s="4525"/>
      <c r="AA66" s="4526"/>
      <c r="AB66" s="4527"/>
      <c r="AC66" s="4528"/>
      <c r="AD66" s="4529"/>
      <c r="AE66" s="4530"/>
      <c r="AF66" s="4531"/>
      <c r="AG66" s="4532"/>
      <c r="AH66" s="4533"/>
      <c r="AI66" s="4534"/>
      <c r="AJ66" s="4535"/>
      <c r="AK66" s="4536"/>
      <c r="AL66" s="4537"/>
      <c r="AM66" s="4538"/>
      <c r="AN66" s="4539"/>
      <c r="AO66" s="4540"/>
      <c r="AP66" s="4541"/>
      <c r="AQ66" s="4542"/>
      <c r="AR66" s="4543"/>
      <c r="AS66" s="4544"/>
      <c r="AT66" s="4545"/>
      <c r="AU66" s="4546"/>
      <c r="AV66" s="4547"/>
      <c r="AW66" s="4548"/>
      <c r="AX66" s="4549"/>
      <c r="AY66" s="4550"/>
      <c r="AZ66" s="4551"/>
      <c r="BA66" s="4552"/>
      <c r="BB66" s="4553"/>
      <c r="BC66" s="4554"/>
      <c r="BD66" s="4555"/>
      <c r="BE66" s="4556"/>
      <c r="BF66" s="4557"/>
      <c r="BG66" s="4558"/>
      <c r="BH66" s="4559"/>
      <c r="BI66" s="4560"/>
      <c r="BJ66" s="4561"/>
      <c r="BK66" s="4562"/>
      <c r="BL66" s="4563"/>
      <c r="BM66" s="4564"/>
      <c r="BN66" s="4565"/>
      <c r="BO66" s="4566"/>
      <c r="BP66" s="4567"/>
      <c r="BQ66" s="4568"/>
      <c r="BR66" s="4569"/>
      <c r="BS66" s="4570"/>
      <c r="BT66" s="4571"/>
      <c r="BU66" s="4572"/>
      <c r="BV66" s="4573"/>
      <c r="BW66" s="4574"/>
      <c r="BX66" s="4575"/>
      <c r="BY66" s="4576"/>
      <c r="BZ66" s="4577"/>
      <c r="CA66" s="4578"/>
      <c r="CB66" s="4579"/>
      <c r="CC66" s="4580"/>
      <c r="CD66" s="4581"/>
      <c r="CE66" s="4582"/>
      <c r="CF66" s="4583"/>
      <c r="CG66" s="4584"/>
      <c r="CH66" s="4585"/>
      <c r="CI66" s="4586"/>
      <c r="CJ66" s="4587"/>
      <c r="CK66" s="4588"/>
      <c r="CL66" s="4589"/>
      <c r="CM66" s="4590"/>
      <c r="CN66" s="4591"/>
      <c r="CO66" s="4592"/>
      <c r="CP66" s="4593"/>
      <c r="CQ66" s="4594"/>
      <c r="CR66" s="4595"/>
      <c r="CS66" s="4596"/>
      <c r="CT66" s="4597"/>
      <c r="CU66" s="4598"/>
      <c r="CV66" s="4287" t="s">
        <v>616</v>
      </c>
      <c r="CW66" s="4093"/>
      <c r="CX66" s="4196"/>
      <c r="CY66" s="4196" t="str">
        <f>IF(T66="","",T66)</f>
        <v>Добавить значение признака дифференциации</v>
      </c>
      <c r="CZ66" s="4196"/>
      <c r="DA66" s="4196"/>
      <c r="DB66" s="3858">
        <v>0</v>
      </c>
    </row>
    <row s="4599" customFormat="1" customHeight="1" ht="23.25">
      <c r="A67" s="4183"/>
      <c r="B67" s="4183"/>
      <c r="C67" s="4183"/>
      <c r="D67" s="4183"/>
      <c r="E67" s="4184"/>
      <c r="F67" s="4184"/>
      <c r="G67" s="4184"/>
      <c r="H67" s="4184"/>
      <c r="I67" s="4185"/>
      <c r="J67" s="4186" t="str">
        <f>I62&amp;".2"</f>
        <v>1.2.1.1.2</v>
      </c>
      <c r="K67" s="4183"/>
      <c r="L67" s="4187" t="s">
        <v>538</v>
      </c>
      <c r="M67" s="4188"/>
      <c r="N67" s="4188"/>
      <c r="O67" s="4188"/>
      <c r="P67" s="4189"/>
      <c r="Q67" s="4190" t="s">
        <v>109</v>
      </c>
      <c r="R67" s="4191"/>
      <c r="S67" s="4192" t="str">
        <f>$J67</f>
        <v>1.2.1.1.2</v>
      </c>
      <c r="T67" s="4193" t="s">
        <v>539</v>
      </c>
      <c r="U67" s="4194"/>
      <c r="V67" s="3874"/>
      <c r="W67" s="3875"/>
      <c r="X67" s="3875"/>
      <c r="Y67" s="3875"/>
      <c r="Z67" s="3875"/>
      <c r="AA67" s="3875"/>
      <c r="AB67" s="3876"/>
      <c r="AC67" s="3874" t="s">
        <v>626</v>
      </c>
      <c r="AD67" s="3875"/>
      <c r="AE67" s="3875"/>
      <c r="AF67" s="3875"/>
      <c r="AG67" s="3875"/>
      <c r="AH67" s="3875"/>
      <c r="AI67" s="3875"/>
      <c r="AJ67" s="3874"/>
      <c r="AK67" s="3875"/>
      <c r="AL67" s="3875"/>
      <c r="AM67" s="3875"/>
      <c r="AN67" s="3875"/>
      <c r="AO67" s="3875"/>
      <c r="AP67" s="3876"/>
      <c r="AQ67" s="3874"/>
      <c r="AR67" s="3875"/>
      <c r="AS67" s="3875"/>
      <c r="AT67" s="3875"/>
      <c r="AU67" s="3875"/>
      <c r="AV67" s="3875"/>
      <c r="AW67" s="3876"/>
      <c r="AX67" s="3874"/>
      <c r="AY67" s="3875"/>
      <c r="AZ67" s="3875"/>
      <c r="BA67" s="3875"/>
      <c r="BB67" s="3875"/>
      <c r="BC67" s="3875"/>
      <c r="BD67" s="3876"/>
      <c r="BE67" s="3874"/>
      <c r="BF67" s="3875"/>
      <c r="BG67" s="3875"/>
      <c r="BH67" s="3875"/>
      <c r="BI67" s="3875"/>
      <c r="BJ67" s="3875"/>
      <c r="BK67" s="3876"/>
      <c r="BL67" s="3874"/>
      <c r="BM67" s="3875"/>
      <c r="BN67" s="3875"/>
      <c r="BO67" s="3875"/>
      <c r="BP67" s="3875"/>
      <c r="BQ67" s="3875"/>
      <c r="BR67" s="3876"/>
      <c r="BS67" s="3874"/>
      <c r="BT67" s="3875"/>
      <c r="BU67" s="3875"/>
      <c r="BV67" s="3875"/>
      <c r="BW67" s="3875"/>
      <c r="BX67" s="3875"/>
      <c r="BY67" s="3876"/>
      <c r="BZ67" s="3874"/>
      <c r="CA67" s="3875"/>
      <c r="CB67" s="3875"/>
      <c r="CC67" s="3875"/>
      <c r="CD67" s="3875"/>
      <c r="CE67" s="3875"/>
      <c r="CF67" s="3876"/>
      <c r="CG67" s="3874"/>
      <c r="CH67" s="3875"/>
      <c r="CI67" s="3875"/>
      <c r="CJ67" s="3875"/>
      <c r="CK67" s="3875"/>
      <c r="CL67" s="3875"/>
      <c r="CM67" s="3876"/>
      <c r="CN67" s="3874"/>
      <c r="CO67" s="3875"/>
      <c r="CP67" s="3875"/>
      <c r="CQ67" s="3875"/>
      <c r="CR67" s="3875"/>
      <c r="CS67" s="3875"/>
      <c r="CT67" s="3876"/>
      <c r="CU67" s="3876"/>
      <c r="CV67" s="4195" t="s">
        <v>614</v>
      </c>
      <c r="CW67" s="4093"/>
      <c r="CX67" s="4196"/>
      <c r="CY67" s="4196" t="str">
        <f>IF(T67="","",T67)</f>
        <v>Группа потребителей</v>
      </c>
      <c r="CZ67" s="4196"/>
      <c r="DA67" s="4196"/>
      <c r="DB67" s="3858">
        <v>0</v>
      </c>
    </row>
    <row s="4600" customFormat="1" customHeight="1" ht="23.25">
      <c r="A68" s="4183"/>
      <c r="B68" s="4183"/>
      <c r="C68" s="4183"/>
      <c r="D68" s="4183"/>
      <c r="E68" s="4184"/>
      <c r="F68" s="4184"/>
      <c r="G68" s="4184"/>
      <c r="H68" s="4184"/>
      <c r="I68" s="4185"/>
      <c r="J68" s="4185" t="str">
        <f>I62&amp;".1"</f>
        <v>1.2.1.1.1</v>
      </c>
      <c r="K68" s="4186" t="str">
        <f>J67&amp;".1"</f>
        <v>1.2.1.1.2.1</v>
      </c>
      <c r="L68" s="4187"/>
      <c r="M68" s="4188"/>
      <c r="N68" s="4188"/>
      <c r="O68" s="4188"/>
      <c r="P68" s="4189"/>
      <c r="Q68" s="4189"/>
      <c r="R68" s="4191">
        <v>1</v>
      </c>
      <c r="S68" s="4192" t="str">
        <f>$K68</f>
        <v>1.2.1.1.2.1</v>
      </c>
      <c r="T68" s="4198"/>
      <c r="U68" s="4194"/>
      <c r="V68" s="3878"/>
      <c r="W68" s="3878"/>
      <c r="X68" s="3879"/>
      <c r="Y68" s="3880"/>
      <c r="Z68" s="3881" t="s">
        <v>65</v>
      </c>
      <c r="AA68" s="3880"/>
      <c r="AB68" s="3881" t="s">
        <v>65</v>
      </c>
      <c r="AC68" s="3878">
        <v>51.99</v>
      </c>
      <c r="AD68" s="3878"/>
      <c r="AE68" s="3879"/>
      <c r="AF68" s="3880">
        <v>45292</v>
      </c>
      <c r="AG68" s="3881" t="s">
        <v>65</v>
      </c>
      <c r="AH68" s="4116">
        <v>45473</v>
      </c>
      <c r="AI68" s="3881" t="s">
        <v>65</v>
      </c>
      <c r="AJ68" s="3878">
        <v>54.69</v>
      </c>
      <c r="AK68" s="3878"/>
      <c r="AL68" s="3879"/>
      <c r="AM68" s="3880">
        <v>45474</v>
      </c>
      <c r="AN68" s="3881" t="s">
        <v>65</v>
      </c>
      <c r="AO68" s="3880">
        <v>45657</v>
      </c>
      <c r="AP68" s="3881" t="s">
        <v>65</v>
      </c>
      <c r="AQ68" s="3878">
        <v>54.69</v>
      </c>
      <c r="AR68" s="3878"/>
      <c r="AS68" s="3879"/>
      <c r="AT68" s="3880">
        <v>45658</v>
      </c>
      <c r="AU68" s="3881" t="s">
        <v>65</v>
      </c>
      <c r="AV68" s="3880">
        <v>45838</v>
      </c>
      <c r="AW68" s="3881" t="s">
        <v>65</v>
      </c>
      <c r="AX68" s="3878">
        <v>57.43</v>
      </c>
      <c r="AY68" s="3878"/>
      <c r="AZ68" s="3879"/>
      <c r="BA68" s="3880">
        <v>45839</v>
      </c>
      <c r="BB68" s="3881" t="s">
        <v>65</v>
      </c>
      <c r="BC68" s="3880">
        <v>46022</v>
      </c>
      <c r="BD68" s="3881" t="s">
        <v>65</v>
      </c>
      <c r="BE68" s="3878">
        <v>62.55</v>
      </c>
      <c r="BF68" s="3878"/>
      <c r="BG68" s="3879"/>
      <c r="BH68" s="3880">
        <v>46023</v>
      </c>
      <c r="BI68" s="3881" t="s">
        <v>65</v>
      </c>
      <c r="BJ68" s="3880">
        <v>46203</v>
      </c>
      <c r="BK68" s="3881" t="s">
        <v>65</v>
      </c>
      <c r="BL68" s="3878">
        <v>68.84</v>
      </c>
      <c r="BM68" s="3878"/>
      <c r="BN68" s="3879"/>
      <c r="BO68" s="3880">
        <v>46204</v>
      </c>
      <c r="BP68" s="3881" t="s">
        <v>65</v>
      </c>
      <c r="BQ68" s="3880">
        <v>46387</v>
      </c>
      <c r="BR68" s="3881" t="s">
        <v>65</v>
      </c>
      <c r="BS68" s="3878">
        <v>68.84</v>
      </c>
      <c r="BT68" s="3878"/>
      <c r="BU68" s="3879"/>
      <c r="BV68" s="3880">
        <v>46388</v>
      </c>
      <c r="BW68" s="3881" t="s">
        <v>65</v>
      </c>
      <c r="BX68" s="3880">
        <v>46568</v>
      </c>
      <c r="BY68" s="3881" t="s">
        <v>65</v>
      </c>
      <c r="BZ68" s="3878">
        <v>74.46</v>
      </c>
      <c r="CA68" s="3878"/>
      <c r="CB68" s="3879"/>
      <c r="CC68" s="3880">
        <v>46388</v>
      </c>
      <c r="CD68" s="3881" t="s">
        <v>65</v>
      </c>
      <c r="CE68" s="3880">
        <v>46752</v>
      </c>
      <c r="CF68" s="3881" t="s">
        <v>65</v>
      </c>
      <c r="CG68" s="3878">
        <v>74.46</v>
      </c>
      <c r="CH68" s="3878"/>
      <c r="CI68" s="3879"/>
      <c r="CJ68" s="3880">
        <v>46753</v>
      </c>
      <c r="CK68" s="3881" t="s">
        <v>65</v>
      </c>
      <c r="CL68" s="3880">
        <v>46934</v>
      </c>
      <c r="CM68" s="3881" t="s">
        <v>65</v>
      </c>
      <c r="CN68" s="3878">
        <v>81.66</v>
      </c>
      <c r="CO68" s="3878"/>
      <c r="CP68" s="3879"/>
      <c r="CQ68" s="3880">
        <v>46935</v>
      </c>
      <c r="CR68" s="3881" t="s">
        <v>65</v>
      </c>
      <c r="CS68" s="3880">
        <v>47118</v>
      </c>
      <c r="CT68" s="3881" t="s">
        <v>65</v>
      </c>
      <c r="CU68" s="4199"/>
      <c r="CV6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68" s="4093">
        <f>STRCHECKDATE(V69:CU69)</f>
      </c>
      <c r="CX68" s="4196"/>
      <c r="CY68" s="4196" t="str">
        <f>IF(T68="","",T68)</f>
        <v/>
      </c>
      <c r="CZ68" s="4196"/>
      <c r="DA68" s="4196"/>
      <c r="DB68" s="3858">
        <v>0</v>
      </c>
    </row>
    <row s="4601" customFormat="1" customHeight="1" ht="14.25">
      <c r="A69" s="4183"/>
      <c r="B69" s="4183"/>
      <c r="C69" s="4183"/>
      <c r="D69" s="4183"/>
      <c r="E69" s="4184"/>
      <c r="F69" s="4184"/>
      <c r="G69" s="4184"/>
      <c r="H69" s="4184"/>
      <c r="I69" s="4185"/>
      <c r="J69" s="4185" t="str">
        <f>I62&amp;".1"</f>
        <v>1.2.1.1.1</v>
      </c>
      <c r="K69" s="4186"/>
      <c r="L69" s="4187"/>
      <c r="M69" s="4188"/>
      <c r="N69" s="4188"/>
      <c r="O69" s="4188"/>
      <c r="P69" s="4189"/>
      <c r="Q69" s="4189"/>
      <c r="R69" s="4191"/>
      <c r="S69" s="4202"/>
      <c r="T69" s="4194"/>
      <c r="U69" s="4194"/>
      <c r="V69" s="3885"/>
      <c r="W69" s="3885"/>
      <c r="X69" s="3886" t="str">
        <f>Y68&amp;"-"&amp;AA68</f>
        <v>-</v>
      </c>
      <c r="Y69" s="3887"/>
      <c r="Z69" s="3881"/>
      <c r="AA69" s="3887"/>
      <c r="AB69" s="3881"/>
      <c r="AC69" s="3885"/>
      <c r="AD69" s="3885"/>
      <c r="AE69" s="3886" t="str">
        <f>AF68&amp;"-"&amp;AH68</f>
        <v>45292-45473</v>
      </c>
      <c r="AF69" s="3887"/>
      <c r="AG69" s="3881"/>
      <c r="AH69" s="4118"/>
      <c r="AI69" s="3881"/>
      <c r="AJ69" s="3885"/>
      <c r="AK69" s="3885"/>
      <c r="AL69" s="3886" t="str">
        <f>AM68&amp;"-"&amp;AO68</f>
        <v>45474-45657</v>
      </c>
      <c r="AM69" s="3887"/>
      <c r="AN69" s="3881"/>
      <c r="AO69" s="3887"/>
      <c r="AP69" s="3881"/>
      <c r="AQ69" s="3885"/>
      <c r="AR69" s="3885"/>
      <c r="AS69" s="3886" t="str">
        <f>AT68&amp;"-"&amp;AV68</f>
        <v>45658-45838</v>
      </c>
      <c r="AT69" s="3887"/>
      <c r="AU69" s="3881"/>
      <c r="AV69" s="3887"/>
      <c r="AW69" s="3881"/>
      <c r="AX69" s="3885"/>
      <c r="AY69" s="3885"/>
      <c r="AZ69" s="3886" t="str">
        <f>BA68&amp;"-"&amp;BC68</f>
        <v>45839-46022</v>
      </c>
      <c r="BA69" s="3887"/>
      <c r="BB69" s="3881"/>
      <c r="BC69" s="3887"/>
      <c r="BD69" s="3881"/>
      <c r="BE69" s="3885"/>
      <c r="BF69" s="3885"/>
      <c r="BG69" s="3886" t="str">
        <f>BH68&amp;"-"&amp;BJ68</f>
        <v>46023-46203</v>
      </c>
      <c r="BH69" s="3887"/>
      <c r="BI69" s="3881"/>
      <c r="BJ69" s="3887"/>
      <c r="BK69" s="3881"/>
      <c r="BL69" s="3885"/>
      <c r="BM69" s="3885"/>
      <c r="BN69" s="3886" t="str">
        <f>BO68&amp;"-"&amp;BQ68</f>
        <v>46204-46387</v>
      </c>
      <c r="BO69" s="3887"/>
      <c r="BP69" s="3881"/>
      <c r="BQ69" s="3887"/>
      <c r="BR69" s="3881"/>
      <c r="BS69" s="3885"/>
      <c r="BT69" s="3885"/>
      <c r="BU69" s="3886" t="str">
        <f>BV68&amp;"-"&amp;BX68</f>
        <v>46388-46568</v>
      </c>
      <c r="BV69" s="3887"/>
      <c r="BW69" s="3881"/>
      <c r="BX69" s="3887"/>
      <c r="BY69" s="3881"/>
      <c r="BZ69" s="3885"/>
      <c r="CA69" s="3885"/>
      <c r="CB69" s="3886" t="str">
        <f>CC68&amp;"-"&amp;CE68</f>
        <v>46388-46752</v>
      </c>
      <c r="CC69" s="3887"/>
      <c r="CD69" s="3881"/>
      <c r="CE69" s="3887"/>
      <c r="CF69" s="3881"/>
      <c r="CG69" s="3885"/>
      <c r="CH69" s="3885"/>
      <c r="CI69" s="3886" t="str">
        <f>CJ68&amp;"-"&amp;CL68</f>
        <v>46753-46934</v>
      </c>
      <c r="CJ69" s="3887"/>
      <c r="CK69" s="3881"/>
      <c r="CL69" s="3887"/>
      <c r="CM69" s="3881"/>
      <c r="CN69" s="3885"/>
      <c r="CO69" s="3885"/>
      <c r="CP69" s="3886" t="str">
        <f>CQ68&amp;"-"&amp;CS68</f>
        <v>46935-47118</v>
      </c>
      <c r="CQ69" s="3887"/>
      <c r="CR69" s="3881"/>
      <c r="CS69" s="3887"/>
      <c r="CT69" s="3881"/>
      <c r="CU69" s="4203"/>
      <c r="CV69" s="4200"/>
      <c r="CW69" s="4093"/>
      <c r="CX69" s="4196"/>
      <c r="CY69" s="4196" t="str">
        <f>IF(T69="","",T69)</f>
        <v/>
      </c>
      <c r="CZ69" s="4196"/>
      <c r="DA69" s="4196"/>
      <c r="DB69" s="3858">
        <v>0</v>
      </c>
    </row>
    <row s="4602" customFormat="1" customHeight="1" ht="21">
      <c r="A70" s="4183"/>
      <c r="B70" s="4183"/>
      <c r="C70" s="4183"/>
      <c r="D70" s="4183"/>
      <c r="E70" s="4184"/>
      <c r="F70" s="4184"/>
      <c r="G70" s="4184"/>
      <c r="H70" s="4184"/>
      <c r="I70" s="4185"/>
      <c r="J70" s="4186" t="str">
        <f>I62&amp;".1"</f>
        <v>1.2.1.1.1</v>
      </c>
      <c r="K70" s="4183"/>
      <c r="L70" s="4187"/>
      <c r="M70" s="4188"/>
      <c r="N70" s="4188"/>
      <c r="O70" s="4188"/>
      <c r="P70" s="4189"/>
      <c r="Q70" s="4189"/>
      <c r="R70" s="4205"/>
      <c r="S70" s="4603"/>
      <c r="T70" s="4604" t="s">
        <v>615</v>
      </c>
      <c r="U70" s="4605"/>
      <c r="V70" s="4606"/>
      <c r="W70" s="4607"/>
      <c r="X70" s="4608"/>
      <c r="Y70" s="4609"/>
      <c r="Z70" s="4610"/>
      <c r="AA70" s="4611"/>
      <c r="AB70" s="4612"/>
      <c r="AC70" s="4613"/>
      <c r="AD70" s="4614"/>
      <c r="AE70" s="4615"/>
      <c r="AF70" s="4616"/>
      <c r="AG70" s="4617"/>
      <c r="AH70" s="4618"/>
      <c r="AI70" s="4619"/>
      <c r="AJ70" s="4620"/>
      <c r="AK70" s="4621"/>
      <c r="AL70" s="4622"/>
      <c r="AM70" s="4623"/>
      <c r="AN70" s="4624"/>
      <c r="AO70" s="4625"/>
      <c r="AP70" s="4626"/>
      <c r="AQ70" s="4627"/>
      <c r="AR70" s="4628"/>
      <c r="AS70" s="4629"/>
      <c r="AT70" s="4630"/>
      <c r="AU70" s="4631"/>
      <c r="AV70" s="4632"/>
      <c r="AW70" s="4633"/>
      <c r="AX70" s="4634"/>
      <c r="AY70" s="4635"/>
      <c r="AZ70" s="4636"/>
      <c r="BA70" s="4637"/>
      <c r="BB70" s="4638"/>
      <c r="BC70" s="4639"/>
      <c r="BD70" s="4640"/>
      <c r="BE70" s="4641"/>
      <c r="BF70" s="4642"/>
      <c r="BG70" s="4643"/>
      <c r="BH70" s="4644"/>
      <c r="BI70" s="4645"/>
      <c r="BJ70" s="4646"/>
      <c r="BK70" s="4647"/>
      <c r="BL70" s="4648"/>
      <c r="BM70" s="4649"/>
      <c r="BN70" s="4650"/>
      <c r="BO70" s="4651"/>
      <c r="BP70" s="4652"/>
      <c r="BQ70" s="4653"/>
      <c r="BR70" s="4654"/>
      <c r="BS70" s="4655"/>
      <c r="BT70" s="4656"/>
      <c r="BU70" s="4657"/>
      <c r="BV70" s="4658"/>
      <c r="BW70" s="4659"/>
      <c r="BX70" s="4660"/>
      <c r="BY70" s="4661"/>
      <c r="BZ70" s="4662"/>
      <c r="CA70" s="4663"/>
      <c r="CB70" s="4664"/>
      <c r="CC70" s="4665"/>
      <c r="CD70" s="4666"/>
      <c r="CE70" s="4667"/>
      <c r="CF70" s="4668"/>
      <c r="CG70" s="4669"/>
      <c r="CH70" s="4670"/>
      <c r="CI70" s="4671"/>
      <c r="CJ70" s="4672"/>
      <c r="CK70" s="4673"/>
      <c r="CL70" s="4674"/>
      <c r="CM70" s="4675"/>
      <c r="CN70" s="4676"/>
      <c r="CO70" s="4677"/>
      <c r="CP70" s="4678"/>
      <c r="CQ70" s="4679"/>
      <c r="CR70" s="4680"/>
      <c r="CS70" s="4681"/>
      <c r="CT70" s="4682"/>
      <c r="CU70" s="4683"/>
      <c r="CV70" s="4287" t="s">
        <v>616</v>
      </c>
      <c r="CW70" s="4093"/>
      <c r="CX70" s="4196"/>
      <c r="CY70" s="4196" t="str">
        <f>IF(T70="","",T70)</f>
        <v>Добавить значение признака дифференциации</v>
      </c>
      <c r="CZ70" s="4196"/>
      <c r="DA70" s="4196"/>
      <c r="DB70" s="3858">
        <v>0</v>
      </c>
    </row>
    <row s="4684" customFormat="1" customHeight="1" ht="23.25">
      <c r="A71" s="4183"/>
      <c r="B71" s="4183"/>
      <c r="C71" s="4183"/>
      <c r="D71" s="4183"/>
      <c r="E71" s="4184"/>
      <c r="F71" s="4184"/>
      <c r="G71" s="4184"/>
      <c r="H71" s="4184"/>
      <c r="I71" s="4185"/>
      <c r="J71" s="4186" t="str">
        <f>I62&amp;".3"</f>
        <v>1.2.1.1.3</v>
      </c>
      <c r="K71" s="4183"/>
      <c r="L71" s="4187" t="s">
        <v>538</v>
      </c>
      <c r="M71" s="4188"/>
      <c r="N71" s="4188"/>
      <c r="O71" s="4188"/>
      <c r="P71" s="4189"/>
      <c r="Q71" s="4190" t="s">
        <v>109</v>
      </c>
      <c r="R71" s="4191"/>
      <c r="S71" s="4192" t="str">
        <f>$J71</f>
        <v>1.2.1.1.3</v>
      </c>
      <c r="T71" s="4193" t="s">
        <v>539</v>
      </c>
      <c r="U71" s="4194"/>
      <c r="V71" s="3874"/>
      <c r="W71" s="3875"/>
      <c r="X71" s="3875"/>
      <c r="Y71" s="3875"/>
      <c r="Z71" s="3875"/>
      <c r="AA71" s="3875"/>
      <c r="AB71" s="3876"/>
      <c r="AC71" s="3874" t="s">
        <v>627</v>
      </c>
      <c r="AD71" s="3875"/>
      <c r="AE71" s="3875"/>
      <c r="AF71" s="3875"/>
      <c r="AG71" s="3875"/>
      <c r="AH71" s="3875"/>
      <c r="AI71" s="3875"/>
      <c r="AJ71" s="3874"/>
      <c r="AK71" s="3875"/>
      <c r="AL71" s="3875"/>
      <c r="AM71" s="3875"/>
      <c r="AN71" s="3875"/>
      <c r="AO71" s="3875"/>
      <c r="AP71" s="3876"/>
      <c r="AQ71" s="3874"/>
      <c r="AR71" s="3875"/>
      <c r="AS71" s="3875"/>
      <c r="AT71" s="3875"/>
      <c r="AU71" s="3875"/>
      <c r="AV71" s="3875"/>
      <c r="AW71" s="3876"/>
      <c r="AX71" s="3874"/>
      <c r="AY71" s="3875"/>
      <c r="AZ71" s="3875"/>
      <c r="BA71" s="3875"/>
      <c r="BB71" s="3875"/>
      <c r="BC71" s="3875"/>
      <c r="BD71" s="3876"/>
      <c r="BE71" s="3874"/>
      <c r="BF71" s="3875"/>
      <c r="BG71" s="3875"/>
      <c r="BH71" s="3875"/>
      <c r="BI71" s="3875"/>
      <c r="BJ71" s="3875"/>
      <c r="BK71" s="3876"/>
      <c r="BL71" s="3874"/>
      <c r="BM71" s="3875"/>
      <c r="BN71" s="3875"/>
      <c r="BO71" s="3875"/>
      <c r="BP71" s="3875"/>
      <c r="BQ71" s="3875"/>
      <c r="BR71" s="3876"/>
      <c r="BS71" s="3874"/>
      <c r="BT71" s="3875"/>
      <c r="BU71" s="3875"/>
      <c r="BV71" s="3875"/>
      <c r="BW71" s="3875"/>
      <c r="BX71" s="3875"/>
      <c r="BY71" s="3876"/>
      <c r="BZ71" s="3874"/>
      <c r="CA71" s="3875"/>
      <c r="CB71" s="3875"/>
      <c r="CC71" s="3875"/>
      <c r="CD71" s="3875"/>
      <c r="CE71" s="3875"/>
      <c r="CF71" s="3876"/>
      <c r="CG71" s="3874"/>
      <c r="CH71" s="3875"/>
      <c r="CI71" s="3875"/>
      <c r="CJ71" s="3875"/>
      <c r="CK71" s="3875"/>
      <c r="CL71" s="3875"/>
      <c r="CM71" s="3876"/>
      <c r="CN71" s="3874"/>
      <c r="CO71" s="3875"/>
      <c r="CP71" s="3875"/>
      <c r="CQ71" s="3875"/>
      <c r="CR71" s="3875"/>
      <c r="CS71" s="3875"/>
      <c r="CT71" s="3876"/>
      <c r="CU71" s="3876"/>
      <c r="CV71" s="4195" t="s">
        <v>614</v>
      </c>
      <c r="CW71" s="4093"/>
      <c r="CX71" s="4196"/>
      <c r="CY71" s="4196" t="str">
        <f>IF(T71="","",T71)</f>
        <v>Группа потребителей</v>
      </c>
      <c r="CZ71" s="4196"/>
      <c r="DA71" s="4196"/>
      <c r="DB71" s="3858">
        <v>0</v>
      </c>
    </row>
    <row s="4685" customFormat="1" customHeight="1" ht="23.25">
      <c r="A72" s="4183"/>
      <c r="B72" s="4183"/>
      <c r="C72" s="4183"/>
      <c r="D72" s="4183"/>
      <c r="E72" s="4184"/>
      <c r="F72" s="4184"/>
      <c r="G72" s="4184"/>
      <c r="H72" s="4184"/>
      <c r="I72" s="4185"/>
      <c r="J72" s="4185" t="str">
        <f>I62&amp;".2"</f>
        <v>1.2.1.1.2</v>
      </c>
      <c r="K72" s="4186" t="str">
        <f>J71&amp;".1"</f>
        <v>1.2.1.1.3.1</v>
      </c>
      <c r="L72" s="4187"/>
      <c r="M72" s="4188"/>
      <c r="N72" s="4188"/>
      <c r="O72" s="4188"/>
      <c r="P72" s="4189"/>
      <c r="Q72" s="4189"/>
      <c r="R72" s="4191">
        <v>1</v>
      </c>
      <c r="S72" s="4192" t="str">
        <f>$K72</f>
        <v>1.2.1.1.3.1</v>
      </c>
      <c r="T72" s="4198"/>
      <c r="U72" s="4194"/>
      <c r="V72" s="3878"/>
      <c r="W72" s="3878"/>
      <c r="X72" s="3879"/>
      <c r="Y72" s="3880"/>
      <c r="Z72" s="3881" t="s">
        <v>65</v>
      </c>
      <c r="AA72" s="3880"/>
      <c r="AB72" s="3881" t="s">
        <v>65</v>
      </c>
      <c r="AC72" s="3878">
        <v>51.99</v>
      </c>
      <c r="AD72" s="3878"/>
      <c r="AE72" s="3879"/>
      <c r="AF72" s="3880">
        <v>45292</v>
      </c>
      <c r="AG72" s="3881" t="s">
        <v>65</v>
      </c>
      <c r="AH72" s="4116">
        <v>45473</v>
      </c>
      <c r="AI72" s="3881" t="s">
        <v>65</v>
      </c>
      <c r="AJ72" s="3878">
        <v>54.69</v>
      </c>
      <c r="AK72" s="3878"/>
      <c r="AL72" s="3879"/>
      <c r="AM72" s="3880">
        <v>45474</v>
      </c>
      <c r="AN72" s="3881" t="s">
        <v>65</v>
      </c>
      <c r="AO72" s="3880">
        <v>45657</v>
      </c>
      <c r="AP72" s="3881" t="s">
        <v>65</v>
      </c>
      <c r="AQ72" s="3878">
        <v>54.69</v>
      </c>
      <c r="AR72" s="3878"/>
      <c r="AS72" s="3879"/>
      <c r="AT72" s="3880">
        <v>45658</v>
      </c>
      <c r="AU72" s="3881" t="s">
        <v>65</v>
      </c>
      <c r="AV72" s="3880">
        <v>45838</v>
      </c>
      <c r="AW72" s="3881" t="s">
        <v>65</v>
      </c>
      <c r="AX72" s="3878">
        <v>57.43</v>
      </c>
      <c r="AY72" s="3878"/>
      <c r="AZ72" s="3879"/>
      <c r="BA72" s="3880">
        <v>45839</v>
      </c>
      <c r="BB72" s="3881" t="s">
        <v>65</v>
      </c>
      <c r="BC72" s="3880">
        <v>46022</v>
      </c>
      <c r="BD72" s="3881" t="s">
        <v>65</v>
      </c>
      <c r="BE72" s="3878">
        <v>62.55</v>
      </c>
      <c r="BF72" s="3878"/>
      <c r="BG72" s="3879"/>
      <c r="BH72" s="3880">
        <v>46023</v>
      </c>
      <c r="BI72" s="3881" t="s">
        <v>65</v>
      </c>
      <c r="BJ72" s="3880">
        <v>46203</v>
      </c>
      <c r="BK72" s="3881" t="s">
        <v>65</v>
      </c>
      <c r="BL72" s="3878">
        <v>68.84</v>
      </c>
      <c r="BM72" s="3878"/>
      <c r="BN72" s="3879"/>
      <c r="BO72" s="3880">
        <v>46204</v>
      </c>
      <c r="BP72" s="3881" t="s">
        <v>65</v>
      </c>
      <c r="BQ72" s="3880">
        <v>46387</v>
      </c>
      <c r="BR72" s="3881" t="s">
        <v>65</v>
      </c>
      <c r="BS72" s="3878">
        <v>68.84</v>
      </c>
      <c r="BT72" s="3878"/>
      <c r="BU72" s="3879"/>
      <c r="BV72" s="3880">
        <v>46388</v>
      </c>
      <c r="BW72" s="3881" t="s">
        <v>65</v>
      </c>
      <c r="BX72" s="3880">
        <v>46568</v>
      </c>
      <c r="BY72" s="3881" t="s">
        <v>65</v>
      </c>
      <c r="BZ72" s="3878">
        <v>74.46</v>
      </c>
      <c r="CA72" s="3878"/>
      <c r="CB72" s="3879"/>
      <c r="CC72" s="3880">
        <v>46388</v>
      </c>
      <c r="CD72" s="3881" t="s">
        <v>65</v>
      </c>
      <c r="CE72" s="3880">
        <v>46752</v>
      </c>
      <c r="CF72" s="3881" t="s">
        <v>65</v>
      </c>
      <c r="CG72" s="3878">
        <v>74.46</v>
      </c>
      <c r="CH72" s="3878"/>
      <c r="CI72" s="3879"/>
      <c r="CJ72" s="3880">
        <v>46753</v>
      </c>
      <c r="CK72" s="3881" t="s">
        <v>65</v>
      </c>
      <c r="CL72" s="3880">
        <v>46934</v>
      </c>
      <c r="CM72" s="3881" t="s">
        <v>65</v>
      </c>
      <c r="CN72" s="3878">
        <v>81.66</v>
      </c>
      <c r="CO72" s="3878"/>
      <c r="CP72" s="3879"/>
      <c r="CQ72" s="3880">
        <v>46935</v>
      </c>
      <c r="CR72" s="3881" t="s">
        <v>65</v>
      </c>
      <c r="CS72" s="3880">
        <v>47118</v>
      </c>
      <c r="CT72" s="3881" t="s">
        <v>65</v>
      </c>
      <c r="CU72" s="4199"/>
      <c r="CV7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72" s="4093">
        <f>STRCHECKDATE(V73:CU73)</f>
      </c>
      <c r="CX72" s="4196"/>
      <c r="CY72" s="4196" t="str">
        <f>IF(T72="","",T72)</f>
        <v/>
      </c>
      <c r="CZ72" s="4196"/>
      <c r="DA72" s="4196"/>
      <c r="DB72" s="3858">
        <v>0</v>
      </c>
    </row>
    <row s="4686" customFormat="1" customHeight="1" ht="14.25">
      <c r="A73" s="4183"/>
      <c r="B73" s="4183"/>
      <c r="C73" s="4183"/>
      <c r="D73" s="4183"/>
      <c r="E73" s="4184"/>
      <c r="F73" s="4184"/>
      <c r="G73" s="4184"/>
      <c r="H73" s="4184"/>
      <c r="I73" s="4185"/>
      <c r="J73" s="4185" t="str">
        <f>I62&amp;".2"</f>
        <v>1.2.1.1.2</v>
      </c>
      <c r="K73" s="4186"/>
      <c r="L73" s="4187"/>
      <c r="M73" s="4188"/>
      <c r="N73" s="4188"/>
      <c r="O73" s="4188"/>
      <c r="P73" s="4189"/>
      <c r="Q73" s="4189"/>
      <c r="R73" s="4191"/>
      <c r="S73" s="4202"/>
      <c r="T73" s="4194"/>
      <c r="U73" s="4194"/>
      <c r="V73" s="3885"/>
      <c r="W73" s="3885"/>
      <c r="X73" s="3886" t="str">
        <f>Y72&amp;"-"&amp;AA72</f>
        <v>-</v>
      </c>
      <c r="Y73" s="3887"/>
      <c r="Z73" s="3881"/>
      <c r="AA73" s="3887"/>
      <c r="AB73" s="3881"/>
      <c r="AC73" s="3885"/>
      <c r="AD73" s="3885"/>
      <c r="AE73" s="3886" t="str">
        <f>AF72&amp;"-"&amp;AH72</f>
        <v>45292-45473</v>
      </c>
      <c r="AF73" s="3887"/>
      <c r="AG73" s="3881"/>
      <c r="AH73" s="4118"/>
      <c r="AI73" s="3881"/>
      <c r="AJ73" s="3885"/>
      <c r="AK73" s="3885"/>
      <c r="AL73" s="3886" t="str">
        <f>AM72&amp;"-"&amp;AO72</f>
        <v>45474-45657</v>
      </c>
      <c r="AM73" s="3887"/>
      <c r="AN73" s="3881"/>
      <c r="AO73" s="3887"/>
      <c r="AP73" s="3881"/>
      <c r="AQ73" s="3885"/>
      <c r="AR73" s="3885"/>
      <c r="AS73" s="3886" t="str">
        <f>AT72&amp;"-"&amp;AV72</f>
        <v>45658-45838</v>
      </c>
      <c r="AT73" s="3887"/>
      <c r="AU73" s="3881"/>
      <c r="AV73" s="3887"/>
      <c r="AW73" s="3881"/>
      <c r="AX73" s="3885"/>
      <c r="AY73" s="3885"/>
      <c r="AZ73" s="3886" t="str">
        <f>BA72&amp;"-"&amp;BC72</f>
        <v>45839-46022</v>
      </c>
      <c r="BA73" s="3887"/>
      <c r="BB73" s="3881"/>
      <c r="BC73" s="3887"/>
      <c r="BD73" s="3881"/>
      <c r="BE73" s="3885"/>
      <c r="BF73" s="3885"/>
      <c r="BG73" s="3886" t="str">
        <f>BH72&amp;"-"&amp;BJ72</f>
        <v>46023-46203</v>
      </c>
      <c r="BH73" s="3887"/>
      <c r="BI73" s="3881"/>
      <c r="BJ73" s="3887"/>
      <c r="BK73" s="3881"/>
      <c r="BL73" s="3885"/>
      <c r="BM73" s="3885"/>
      <c r="BN73" s="3886" t="str">
        <f>BO72&amp;"-"&amp;BQ72</f>
        <v>46204-46387</v>
      </c>
      <c r="BO73" s="3887"/>
      <c r="BP73" s="3881"/>
      <c r="BQ73" s="3887"/>
      <c r="BR73" s="3881"/>
      <c r="BS73" s="3885"/>
      <c r="BT73" s="3885"/>
      <c r="BU73" s="3886" t="str">
        <f>BV72&amp;"-"&amp;BX72</f>
        <v>46388-46568</v>
      </c>
      <c r="BV73" s="3887"/>
      <c r="BW73" s="3881"/>
      <c r="BX73" s="3887"/>
      <c r="BY73" s="3881"/>
      <c r="BZ73" s="3885"/>
      <c r="CA73" s="3885"/>
      <c r="CB73" s="3886" t="str">
        <f>CC72&amp;"-"&amp;CE72</f>
        <v>46388-46752</v>
      </c>
      <c r="CC73" s="3887"/>
      <c r="CD73" s="3881"/>
      <c r="CE73" s="3887"/>
      <c r="CF73" s="3881"/>
      <c r="CG73" s="3885"/>
      <c r="CH73" s="3885"/>
      <c r="CI73" s="3886" t="str">
        <f>CJ72&amp;"-"&amp;CL72</f>
        <v>46753-46934</v>
      </c>
      <c r="CJ73" s="3887"/>
      <c r="CK73" s="3881"/>
      <c r="CL73" s="3887"/>
      <c r="CM73" s="3881"/>
      <c r="CN73" s="3885"/>
      <c r="CO73" s="3885"/>
      <c r="CP73" s="3886" t="str">
        <f>CQ72&amp;"-"&amp;CS72</f>
        <v>46935-47118</v>
      </c>
      <c r="CQ73" s="3887"/>
      <c r="CR73" s="3881"/>
      <c r="CS73" s="3887"/>
      <c r="CT73" s="3881"/>
      <c r="CU73" s="4203"/>
      <c r="CV73" s="4200"/>
      <c r="CW73" s="4093"/>
      <c r="CX73" s="4196"/>
      <c r="CY73" s="4196" t="str">
        <f>IF(T73="","",T73)</f>
        <v/>
      </c>
      <c r="CZ73" s="4196"/>
      <c r="DA73" s="4196"/>
      <c r="DB73" s="3858">
        <v>0</v>
      </c>
    </row>
    <row s="4687" customFormat="1" customHeight="1" ht="21">
      <c r="A74" s="4183"/>
      <c r="B74" s="4183"/>
      <c r="C74" s="4183"/>
      <c r="D74" s="4183"/>
      <c r="E74" s="4184"/>
      <c r="F74" s="4184"/>
      <c r="G74" s="4184"/>
      <c r="H74" s="4184"/>
      <c r="I74" s="4185"/>
      <c r="J74" s="4186" t="str">
        <f>I62&amp;".2"</f>
        <v>1.2.1.1.2</v>
      </c>
      <c r="K74" s="4183"/>
      <c r="L74" s="4187"/>
      <c r="M74" s="4188"/>
      <c r="N74" s="4188"/>
      <c r="O74" s="4188"/>
      <c r="P74" s="4189"/>
      <c r="Q74" s="4189"/>
      <c r="R74" s="4205"/>
      <c r="S74" s="4688"/>
      <c r="T74" s="4689" t="s">
        <v>615</v>
      </c>
      <c r="U74" s="4690"/>
      <c r="V74" s="4691"/>
      <c r="W74" s="4692"/>
      <c r="X74" s="4693"/>
      <c r="Y74" s="4694"/>
      <c r="Z74" s="4695"/>
      <c r="AA74" s="4696"/>
      <c r="AB74" s="4697"/>
      <c r="AC74" s="4698"/>
      <c r="AD74" s="4699"/>
      <c r="AE74" s="4700"/>
      <c r="AF74" s="4701"/>
      <c r="AG74" s="4702"/>
      <c r="AH74" s="4703"/>
      <c r="AI74" s="4704"/>
      <c r="AJ74" s="4705"/>
      <c r="AK74" s="4706"/>
      <c r="AL74" s="4707"/>
      <c r="AM74" s="4708"/>
      <c r="AN74" s="4709"/>
      <c r="AO74" s="4710"/>
      <c r="AP74" s="4711"/>
      <c r="AQ74" s="4712"/>
      <c r="AR74" s="4713"/>
      <c r="AS74" s="4714"/>
      <c r="AT74" s="4715"/>
      <c r="AU74" s="4716"/>
      <c r="AV74" s="4717"/>
      <c r="AW74" s="4718"/>
      <c r="AX74" s="4719"/>
      <c r="AY74" s="4720"/>
      <c r="AZ74" s="4721"/>
      <c r="BA74" s="4722"/>
      <c r="BB74" s="4723"/>
      <c r="BC74" s="4724"/>
      <c r="BD74" s="4725"/>
      <c r="BE74" s="4726"/>
      <c r="BF74" s="4727"/>
      <c r="BG74" s="4728"/>
      <c r="BH74" s="4729"/>
      <c r="BI74" s="4730"/>
      <c r="BJ74" s="4731"/>
      <c r="BK74" s="4732"/>
      <c r="BL74" s="4733"/>
      <c r="BM74" s="4734"/>
      <c r="BN74" s="4735"/>
      <c r="BO74" s="4736"/>
      <c r="BP74" s="4737"/>
      <c r="BQ74" s="4738"/>
      <c r="BR74" s="4739"/>
      <c r="BS74" s="4740"/>
      <c r="BT74" s="4741"/>
      <c r="BU74" s="4742"/>
      <c r="BV74" s="4743"/>
      <c r="BW74" s="4744"/>
      <c r="BX74" s="4745"/>
      <c r="BY74" s="4746"/>
      <c r="BZ74" s="4747"/>
      <c r="CA74" s="4748"/>
      <c r="CB74" s="4749"/>
      <c r="CC74" s="4750"/>
      <c r="CD74" s="4751"/>
      <c r="CE74" s="4752"/>
      <c r="CF74" s="4753"/>
      <c r="CG74" s="4754"/>
      <c r="CH74" s="4755"/>
      <c r="CI74" s="4756"/>
      <c r="CJ74" s="4757"/>
      <c r="CK74" s="4758"/>
      <c r="CL74" s="4759"/>
      <c r="CM74" s="4760"/>
      <c r="CN74" s="4761"/>
      <c r="CO74" s="4762"/>
      <c r="CP74" s="4763"/>
      <c r="CQ74" s="4764"/>
      <c r="CR74" s="4765"/>
      <c r="CS74" s="4766"/>
      <c r="CT74" s="4767"/>
      <c r="CU74" s="4768"/>
      <c r="CV74" s="4287" t="s">
        <v>616</v>
      </c>
      <c r="CW74" s="4093"/>
      <c r="CX74" s="4196"/>
      <c r="CY74" s="4196" t="str">
        <f>IF(T74="","",T74)</f>
        <v>Добавить значение признака дифференциации</v>
      </c>
      <c r="CZ74" s="4196"/>
      <c r="DA74" s="4196"/>
      <c r="DB74" s="3858">
        <v>0</v>
      </c>
    </row>
    <row s="4769" customFormat="1" customHeight="1" ht="21">
      <c r="A75" s="4183"/>
      <c r="B75" s="4183"/>
      <c r="C75" s="4183"/>
      <c r="D75" s="4183"/>
      <c r="E75" s="4184"/>
      <c r="F75" s="4184">
        <v>1</v>
      </c>
      <c r="G75" s="4184"/>
      <c r="H75" s="4184"/>
      <c r="I75" s="4186"/>
      <c r="J75" s="4183"/>
      <c r="K75" s="4183"/>
      <c r="L75" s="4187"/>
      <c r="M75" s="4188"/>
      <c r="N75" s="4188"/>
      <c r="O75" s="4188"/>
      <c r="P75" s="4189"/>
      <c r="Q75" s="4189"/>
      <c r="R75" s="4205"/>
      <c r="S75" s="4770"/>
      <c r="T75" s="4771" t="s">
        <v>544</v>
      </c>
      <c r="U75" s="4772"/>
      <c r="V75" s="4773"/>
      <c r="W75" s="4774"/>
      <c r="X75" s="4775"/>
      <c r="Y75" s="4776"/>
      <c r="Z75" s="4777"/>
      <c r="AA75" s="4778"/>
      <c r="AB75" s="4779"/>
      <c r="AC75" s="4780"/>
      <c r="AD75" s="4781"/>
      <c r="AE75" s="4782"/>
      <c r="AF75" s="4783"/>
      <c r="AG75" s="4784"/>
      <c r="AH75" s="4785"/>
      <c r="AI75" s="4786"/>
      <c r="AJ75" s="4787"/>
      <c r="AK75" s="4788"/>
      <c r="AL75" s="4789"/>
      <c r="AM75" s="4790"/>
      <c r="AN75" s="4791"/>
      <c r="AO75" s="4792"/>
      <c r="AP75" s="4793"/>
      <c r="AQ75" s="4794"/>
      <c r="AR75" s="4795"/>
      <c r="AS75" s="4796"/>
      <c r="AT75" s="4797"/>
      <c r="AU75" s="4798"/>
      <c r="AV75" s="4799"/>
      <c r="AW75" s="4800"/>
      <c r="AX75" s="4801"/>
      <c r="AY75" s="4802"/>
      <c r="AZ75" s="4803"/>
      <c r="BA75" s="4804"/>
      <c r="BB75" s="4805"/>
      <c r="BC75" s="4806"/>
      <c r="BD75" s="4807"/>
      <c r="BE75" s="4808"/>
      <c r="BF75" s="4809"/>
      <c r="BG75" s="4810"/>
      <c r="BH75" s="4811"/>
      <c r="BI75" s="4812"/>
      <c r="BJ75" s="4813"/>
      <c r="BK75" s="4814"/>
      <c r="BL75" s="4815"/>
      <c r="BM75" s="4816"/>
      <c r="BN75" s="4817"/>
      <c r="BO75" s="4818"/>
      <c r="BP75" s="4819"/>
      <c r="BQ75" s="4820"/>
      <c r="BR75" s="4821"/>
      <c r="BS75" s="4822"/>
      <c r="BT75" s="4823"/>
      <c r="BU75" s="4824"/>
      <c r="BV75" s="4825"/>
      <c r="BW75" s="4826"/>
      <c r="BX75" s="4827"/>
      <c r="BY75" s="4828"/>
      <c r="BZ75" s="4829"/>
      <c r="CA75" s="4830"/>
      <c r="CB75" s="4831"/>
      <c r="CC75" s="4832"/>
      <c r="CD75" s="4833"/>
      <c r="CE75" s="4834"/>
      <c r="CF75" s="4835"/>
      <c r="CG75" s="4836"/>
      <c r="CH75" s="4837"/>
      <c r="CI75" s="4838"/>
      <c r="CJ75" s="4839"/>
      <c r="CK75" s="4840"/>
      <c r="CL75" s="4841"/>
      <c r="CM75" s="4842"/>
      <c r="CN75" s="4843"/>
      <c r="CO75" s="4844"/>
      <c r="CP75" s="4845"/>
      <c r="CQ75" s="4846"/>
      <c r="CR75" s="4847"/>
      <c r="CS75" s="4848"/>
      <c r="CT75" s="4849"/>
      <c r="CU75" s="4850"/>
      <c r="CV75" s="4851"/>
      <c r="CW75" s="4093"/>
      <c r="CX75" s="4196"/>
      <c r="CY75" s="4196" t="str">
        <f>IF(T75="","",T75)</f>
        <v>Добавить группу потребителей</v>
      </c>
      <c r="CZ75" s="4196"/>
      <c r="DA75" s="4196"/>
      <c r="DB75" s="3858">
        <v>0</v>
      </c>
    </row>
    <row s="4852" customFormat="1" customHeight="1" ht="14.25">
      <c r="A76" s="4183"/>
      <c r="B76" s="4183"/>
      <c r="C76" s="4183"/>
      <c r="D76" s="4183"/>
      <c r="E76" s="4184"/>
      <c r="F76" s="4184">
        <v>1</v>
      </c>
      <c r="G76" s="4184"/>
      <c r="H76" s="4500"/>
      <c r="I76" s="4183"/>
      <c r="J76" s="4183"/>
      <c r="K76" s="4183"/>
      <c r="L76" s="4187"/>
      <c r="M76" s="4501"/>
      <c r="N76" s="4501"/>
      <c r="O76" s="4083"/>
      <c r="P76" s="4853"/>
      <c r="Q76" s="4854"/>
      <c r="R76" s="4855"/>
      <c r="S76" s="4856"/>
      <c r="T76" s="4857" t="s">
        <v>617</v>
      </c>
      <c r="U76" s="4858"/>
      <c r="V76" s="4859"/>
      <c r="W76" s="4860"/>
      <c r="X76" s="4861"/>
      <c r="Y76" s="4862"/>
      <c r="Z76" s="4863"/>
      <c r="AA76" s="4864"/>
      <c r="AB76" s="4865"/>
      <c r="AC76" s="4866"/>
      <c r="AD76" s="4867"/>
      <c r="AE76" s="4868"/>
      <c r="AF76" s="4869"/>
      <c r="AG76" s="4870"/>
      <c r="AH76" s="4871"/>
      <c r="AI76" s="4872"/>
      <c r="AJ76" s="4873"/>
      <c r="AK76" s="4874"/>
      <c r="AL76" s="4875"/>
      <c r="AM76" s="4876"/>
      <c r="AN76" s="4877"/>
      <c r="AO76" s="4878"/>
      <c r="AP76" s="4879"/>
      <c r="AQ76" s="4880"/>
      <c r="AR76" s="4881"/>
      <c r="AS76" s="4882"/>
      <c r="AT76" s="4883"/>
      <c r="AU76" s="4884"/>
      <c r="AV76" s="4885"/>
      <c r="AW76" s="4886"/>
      <c r="AX76" s="4887"/>
      <c r="AY76" s="4888"/>
      <c r="AZ76" s="4889"/>
      <c r="BA76" s="4890"/>
      <c r="BB76" s="4891"/>
      <c r="BC76" s="4892"/>
      <c r="BD76" s="4893"/>
      <c r="BE76" s="4894"/>
      <c r="BF76" s="4895"/>
      <c r="BG76" s="4896"/>
      <c r="BH76" s="4897"/>
      <c r="BI76" s="4898"/>
      <c r="BJ76" s="4899"/>
      <c r="BK76" s="4900"/>
      <c r="BL76" s="4901"/>
      <c r="BM76" s="4902"/>
      <c r="BN76" s="4903"/>
      <c r="BO76" s="4904"/>
      <c r="BP76" s="4905"/>
      <c r="BQ76" s="4906"/>
      <c r="BR76" s="4907"/>
      <c r="BS76" s="4908"/>
      <c r="BT76" s="4909"/>
      <c r="BU76" s="4910"/>
      <c r="BV76" s="4911"/>
      <c r="BW76" s="4912"/>
      <c r="BX76" s="4913"/>
      <c r="BY76" s="4914"/>
      <c r="BZ76" s="4915"/>
      <c r="CA76" s="4916"/>
      <c r="CB76" s="4917"/>
      <c r="CC76" s="4918"/>
      <c r="CD76" s="4919"/>
      <c r="CE76" s="4920"/>
      <c r="CF76" s="4921"/>
      <c r="CG76" s="4922"/>
      <c r="CH76" s="4923"/>
      <c r="CI76" s="4924"/>
      <c r="CJ76" s="4925"/>
      <c r="CK76" s="4926"/>
      <c r="CL76" s="4927"/>
      <c r="CM76" s="4928"/>
      <c r="CN76" s="4929"/>
      <c r="CO76" s="4930"/>
      <c r="CP76" s="4931"/>
      <c r="CQ76" s="4932"/>
      <c r="CR76" s="4933"/>
      <c r="CS76" s="4934"/>
      <c r="CT76" s="4935"/>
      <c r="CU76" s="4936"/>
      <c r="CV76" s="4937"/>
      <c r="CW76" s="4093"/>
      <c r="CX76" s="4196"/>
      <c r="CY76" s="4196" t="str">
        <f>IF(T76="","",T76)</f>
        <v>Добавить наименование признака дифференциации</v>
      </c>
      <c r="CZ76" s="4196"/>
      <c r="DA76" s="4196"/>
      <c r="DB76" s="3858">
        <v>0</v>
      </c>
    </row>
    <row s="4938" customFormat="1" customHeight="1" ht="14.25">
      <c r="A77" s="4939"/>
      <c r="B77" s="4939"/>
      <c r="C77" s="4939"/>
      <c r="D77" s="4939"/>
      <c r="E77" s="4184"/>
      <c r="F77" s="4500">
        <v>1</v>
      </c>
      <c r="G77" s="4939"/>
      <c r="H77" s="4939"/>
      <c r="I77" s="4939"/>
      <c r="J77" s="4939"/>
      <c r="K77" s="4939"/>
      <c r="L77" s="4940"/>
      <c r="M77" s="4941"/>
      <c r="N77" s="4941"/>
      <c r="O77" s="4093"/>
      <c r="P77" s="4942"/>
      <c r="Q77" s="4943"/>
      <c r="R77" s="4942"/>
      <c r="S77" s="4944"/>
      <c r="T77" s="4945" t="s">
        <v>302</v>
      </c>
      <c r="U77" s="4081"/>
      <c r="V77" s="4081"/>
      <c r="W77" s="4081"/>
      <c r="X77" s="4081"/>
      <c r="Y77" s="4081"/>
      <c r="Z77" s="4081"/>
      <c r="AA77" s="4081"/>
      <c r="AB77" s="4081"/>
      <c r="AC77" s="4081"/>
      <c r="AD77" s="4081"/>
      <c r="AE77" s="4081"/>
      <c r="AF77" s="4081"/>
      <c r="AG77" s="4081"/>
      <c r="AH77" s="4081"/>
      <c r="AI77" s="4081"/>
      <c r="AJ77" s="4081"/>
      <c r="AK77" s="4081"/>
      <c r="AL77" s="4081"/>
      <c r="AM77" s="4081"/>
      <c r="AN77" s="4081"/>
      <c r="AO77" s="4081"/>
      <c r="AP77" s="4081"/>
      <c r="AQ77" s="4081"/>
      <c r="AR77" s="4081"/>
      <c r="AS77" s="4081"/>
      <c r="AT77" s="4081"/>
      <c r="AU77" s="4081"/>
      <c r="AV77" s="4081"/>
      <c r="AW77" s="4081"/>
      <c r="AX77" s="4081"/>
      <c r="AY77" s="4081"/>
      <c r="AZ77" s="4081"/>
      <c r="BA77" s="4081"/>
      <c r="BB77" s="4081"/>
      <c r="BC77" s="4081"/>
      <c r="BD77" s="4081"/>
      <c r="BE77" s="4081"/>
      <c r="BF77" s="4081"/>
      <c r="BG77" s="4081"/>
      <c r="BH77" s="4081"/>
      <c r="BI77" s="4081"/>
      <c r="BJ77" s="4081"/>
      <c r="BK77" s="4081"/>
      <c r="BL77" s="4081"/>
      <c r="BM77" s="4081"/>
      <c r="BN77" s="4081"/>
      <c r="BO77" s="4081"/>
      <c r="BP77" s="4081"/>
      <c r="BQ77" s="4081"/>
      <c r="BR77" s="4081"/>
      <c r="BS77" s="4081"/>
      <c r="BT77" s="4081"/>
      <c r="BU77" s="4081"/>
      <c r="BV77" s="4081"/>
      <c r="BW77" s="4081"/>
      <c r="BX77" s="4081"/>
      <c r="BY77" s="4081"/>
      <c r="BZ77" s="4081"/>
      <c r="CA77" s="4081"/>
      <c r="CB77" s="4081"/>
      <c r="CC77" s="4081"/>
      <c r="CD77" s="4081"/>
      <c r="CE77" s="4081"/>
      <c r="CF77" s="4081"/>
      <c r="CG77" s="4081"/>
      <c r="CH77" s="4081"/>
      <c r="CI77" s="4081"/>
      <c r="CJ77" s="4081"/>
      <c r="CK77" s="4081"/>
      <c r="CL77" s="4081"/>
      <c r="CM77" s="4081"/>
      <c r="CN77" s="4081"/>
      <c r="CO77" s="4081"/>
      <c r="CP77" s="4081"/>
      <c r="CQ77" s="4081"/>
      <c r="CR77" s="4081"/>
      <c r="CS77" s="4081"/>
      <c r="CT77" s="4081"/>
      <c r="CU77" s="4081"/>
      <c r="CV77" s="4081"/>
      <c r="CW77" s="4093"/>
      <c r="CX77" s="4196"/>
      <c r="CY77" s="4196" t="str">
        <f>IF(T77="","",T77)</f>
        <v>Добавить централизованную систему для дифференциации</v>
      </c>
      <c r="CZ77" s="4196"/>
      <c r="DA77" s="4196"/>
      <c r="DB77" s="4093">
        <v>0</v>
      </c>
    </row>
    <row s="4946" customFormat="1" customHeight="1" ht="23.25">
      <c r="A78" s="4183"/>
      <c r="B78" s="4183" t="s">
        <v>306</v>
      </c>
      <c r="C78" s="4183"/>
      <c r="D78" s="4183"/>
      <c r="E78" s="4184"/>
      <c r="F78" s="4500" t="s">
        <v>94</v>
      </c>
      <c r="G78" s="4183"/>
      <c r="H78" s="4183"/>
      <c r="I78" s="4183"/>
      <c r="J78" s="4183"/>
      <c r="K78" s="4183"/>
      <c r="L78" s="4187"/>
      <c r="M78" s="4501"/>
      <c r="N78" s="4501"/>
      <c r="O78" s="4501"/>
      <c r="P78" s="4502"/>
      <c r="Q78" s="4503"/>
      <c r="R78" s="4504"/>
      <c r="S78" s="4192" t="str">
        <f>INDEX(PT_DIFFERENTIATION_NUM_TER,MATCH(B78,PT_DIFFERENTIATION_TER_ID,0))</f>
        <v>1.3</v>
      </c>
      <c r="T78" s="4505" t="s">
        <v>529</v>
      </c>
      <c r="U78" s="4194"/>
      <c r="V78" s="3860"/>
      <c r="W78" s="3861"/>
      <c r="X78" s="3861"/>
      <c r="Y78" s="3861"/>
      <c r="Z78" s="3861"/>
      <c r="AA78" s="3861"/>
      <c r="AB78" s="3862"/>
      <c r="AC78" s="3860" t="str">
        <f>INDEX(PT_DIFFERENTIATION_TER,MATCH(B78,PT_DIFFERENTIATION_TER_ID,0))</f>
        <v>Территория 3</v>
      </c>
      <c r="AD78" s="3861"/>
      <c r="AE78" s="3861"/>
      <c r="AF78" s="3861"/>
      <c r="AG78" s="3861"/>
      <c r="AH78" s="3861"/>
      <c r="AI78" s="3861"/>
      <c r="AJ78" s="3860"/>
      <c r="AK78" s="3861"/>
      <c r="AL78" s="3861"/>
      <c r="AM78" s="3861"/>
      <c r="AN78" s="3861"/>
      <c r="AO78" s="3861"/>
      <c r="AP78" s="3862"/>
      <c r="AQ78" s="3860"/>
      <c r="AR78" s="3861"/>
      <c r="AS78" s="3861"/>
      <c r="AT78" s="3861"/>
      <c r="AU78" s="3861"/>
      <c r="AV78" s="3861"/>
      <c r="AW78" s="3862"/>
      <c r="AX78" s="3860"/>
      <c r="AY78" s="3861"/>
      <c r="AZ78" s="3861"/>
      <c r="BA78" s="3861"/>
      <c r="BB78" s="3861"/>
      <c r="BC78" s="3861"/>
      <c r="BD78" s="3862"/>
      <c r="BE78" s="3860"/>
      <c r="BF78" s="3861"/>
      <c r="BG78" s="3861"/>
      <c r="BH78" s="3861"/>
      <c r="BI78" s="3861"/>
      <c r="BJ78" s="3861"/>
      <c r="BK78" s="3862"/>
      <c r="BL78" s="3860"/>
      <c r="BM78" s="3861"/>
      <c r="BN78" s="3861"/>
      <c r="BO78" s="3861"/>
      <c r="BP78" s="3861"/>
      <c r="BQ78" s="3861"/>
      <c r="BR78" s="3862"/>
      <c r="BS78" s="3860"/>
      <c r="BT78" s="3861"/>
      <c r="BU78" s="3861"/>
      <c r="BV78" s="3861"/>
      <c r="BW78" s="3861"/>
      <c r="BX78" s="3861"/>
      <c r="BY78" s="3862"/>
      <c r="BZ78" s="3860"/>
      <c r="CA78" s="3861"/>
      <c r="CB78" s="3861"/>
      <c r="CC78" s="3861"/>
      <c r="CD78" s="3861"/>
      <c r="CE78" s="3861"/>
      <c r="CF78" s="3862"/>
      <c r="CG78" s="3860"/>
      <c r="CH78" s="3861"/>
      <c r="CI78" s="3861"/>
      <c r="CJ78" s="3861"/>
      <c r="CK78" s="3861"/>
      <c r="CL78" s="3861"/>
      <c r="CM78" s="3862"/>
      <c r="CN78" s="3860"/>
      <c r="CO78" s="3861"/>
      <c r="CP78" s="3861"/>
      <c r="CQ78" s="3861"/>
      <c r="CR78" s="3861"/>
      <c r="CS78" s="3861"/>
      <c r="CT78" s="3862"/>
      <c r="CU78" s="3862"/>
      <c r="CV78" s="4287" t="s">
        <v>530</v>
      </c>
      <c r="CW78" s="4093"/>
      <c r="CX78" s="4196"/>
      <c r="CY78" s="4196" t="str">
        <f>IF(T78="","",T78)</f>
        <v>Территория действия тарифа</v>
      </c>
      <c r="CZ78" s="4196"/>
      <c r="DA78" s="4196"/>
      <c r="DB78" s="3858">
        <v>0</v>
      </c>
    </row>
    <row s="4947" customFormat="1" customHeight="1" ht="23.25">
      <c r="A79" s="4183"/>
      <c r="B79" s="4183"/>
      <c r="C79" s="4183" t="s">
        <v>307</v>
      </c>
      <c r="D79" s="4183"/>
      <c r="E79" s="4184"/>
      <c r="F79" s="4184" t="s">
        <v>108</v>
      </c>
      <c r="G79" s="4500">
        <v>1</v>
      </c>
      <c r="H79" s="4183"/>
      <c r="I79" s="4183"/>
      <c r="J79" s="4183"/>
      <c r="K79" s="4183"/>
      <c r="L79" s="4187"/>
      <c r="M79" s="4501"/>
      <c r="N79" s="4501"/>
      <c r="O79" s="4501"/>
      <c r="P79" s="4507"/>
      <c r="Q79" s="4503"/>
      <c r="R79" s="4504"/>
      <c r="S79" s="4192" t="str">
        <f>INDEX(PT_DIFFERENTIATION_NUM_CS,MATCH(C79,PT_DIFFERENTIATION_CS_ID,0))</f>
        <v>1.3.1</v>
      </c>
      <c r="T79" s="4508" t="s">
        <v>610</v>
      </c>
      <c r="U79" s="4194"/>
      <c r="V79" s="3860"/>
      <c r="W79" s="3861"/>
      <c r="X79" s="3861"/>
      <c r="Y79" s="3861"/>
      <c r="Z79" s="3861"/>
      <c r="AA79" s="3861"/>
      <c r="AB79" s="3862"/>
      <c r="AC79" s="3860" t="str">
        <f>INDEX(PT_DIFFERENTIATION_CS,MATCH(C79,PT_DIFFERENTIATION_CS_ID,0))</f>
        <v>без дифференциации</v>
      </c>
      <c r="AD79" s="3861"/>
      <c r="AE79" s="3861"/>
      <c r="AF79" s="3861"/>
      <c r="AG79" s="3861"/>
      <c r="AH79" s="3861"/>
      <c r="AI79" s="3861"/>
      <c r="AJ79" s="3860"/>
      <c r="AK79" s="3861"/>
      <c r="AL79" s="3861"/>
      <c r="AM79" s="3861"/>
      <c r="AN79" s="3861"/>
      <c r="AO79" s="3861"/>
      <c r="AP79" s="3862"/>
      <c r="AQ79" s="3860"/>
      <c r="AR79" s="3861"/>
      <c r="AS79" s="3861"/>
      <c r="AT79" s="3861"/>
      <c r="AU79" s="3861"/>
      <c r="AV79" s="3861"/>
      <c r="AW79" s="3862"/>
      <c r="AX79" s="3860"/>
      <c r="AY79" s="3861"/>
      <c r="AZ79" s="3861"/>
      <c r="BA79" s="3861"/>
      <c r="BB79" s="3861"/>
      <c r="BC79" s="3861"/>
      <c r="BD79" s="3862"/>
      <c r="BE79" s="3860"/>
      <c r="BF79" s="3861"/>
      <c r="BG79" s="3861"/>
      <c r="BH79" s="3861"/>
      <c r="BI79" s="3861"/>
      <c r="BJ79" s="3861"/>
      <c r="BK79" s="3862"/>
      <c r="BL79" s="3860"/>
      <c r="BM79" s="3861"/>
      <c r="BN79" s="3861"/>
      <c r="BO79" s="3861"/>
      <c r="BP79" s="3861"/>
      <c r="BQ79" s="3861"/>
      <c r="BR79" s="3862"/>
      <c r="BS79" s="3860"/>
      <c r="BT79" s="3861"/>
      <c r="BU79" s="3861"/>
      <c r="BV79" s="3861"/>
      <c r="BW79" s="3861"/>
      <c r="BX79" s="3861"/>
      <c r="BY79" s="3862"/>
      <c r="BZ79" s="3860"/>
      <c r="CA79" s="3861"/>
      <c r="CB79" s="3861"/>
      <c r="CC79" s="3861"/>
      <c r="CD79" s="3861"/>
      <c r="CE79" s="3861"/>
      <c r="CF79" s="3862"/>
      <c r="CG79" s="3860"/>
      <c r="CH79" s="3861"/>
      <c r="CI79" s="3861"/>
      <c r="CJ79" s="3861"/>
      <c r="CK79" s="3861"/>
      <c r="CL79" s="3861"/>
      <c r="CM79" s="3862"/>
      <c r="CN79" s="3860"/>
      <c r="CO79" s="3861"/>
      <c r="CP79" s="3861"/>
      <c r="CQ79" s="3861"/>
      <c r="CR79" s="3861"/>
      <c r="CS79" s="3861"/>
      <c r="CT79" s="3862"/>
      <c r="CU79" s="3862"/>
      <c r="CV79" s="4287" t="s">
        <v>611</v>
      </c>
      <c r="CW79" s="4093"/>
      <c r="CX79" s="4196"/>
      <c r="CY79" s="4196" t="str">
        <f>IF(T79="","",T79)</f>
        <v>Наименование централизованной системы холодного водоснабжения</v>
      </c>
      <c r="CZ79" s="4196"/>
      <c r="DA79" s="4196"/>
      <c r="DB79" s="3858">
        <v>0</v>
      </c>
    </row>
    <row s="4948" customFormat="1" customHeight="1" ht="23.25">
      <c r="A80" s="4183"/>
      <c r="B80" s="4183"/>
      <c r="C80" s="4183"/>
      <c r="D80" s="4183"/>
      <c r="E80" s="4184"/>
      <c r="F80" s="4184" t="s">
        <v>108</v>
      </c>
      <c r="G80" s="4184"/>
      <c r="H80" s="4184"/>
      <c r="I80" s="4186" t="str">
        <f>S79&amp;".1"</f>
        <v>1.3.1.1</v>
      </c>
      <c r="J80" s="4183"/>
      <c r="K80" s="4183"/>
      <c r="L80" s="4187"/>
      <c r="M80" s="4188"/>
      <c r="N80" s="4188"/>
      <c r="O80" s="4188"/>
      <c r="P80" s="4189">
        <v>1</v>
      </c>
      <c r="Q80" s="4189"/>
      <c r="R80" s="4205"/>
      <c r="S80" s="4192" t="str">
        <f>$I80</f>
        <v>1.3.1.1</v>
      </c>
      <c r="T80" s="4510" t="s">
        <v>612</v>
      </c>
      <c r="U80" s="4194"/>
      <c r="V80" s="3870"/>
      <c r="W80" s="3871"/>
      <c r="X80" s="3871"/>
      <c r="Y80" s="3871"/>
      <c r="Z80" s="3871"/>
      <c r="AA80" s="3871"/>
      <c r="AB80" s="3872"/>
      <c r="AC80" s="4511"/>
      <c r="AD80" s="4512"/>
      <c r="AE80" s="4512"/>
      <c r="AF80" s="4512"/>
      <c r="AG80" s="4512"/>
      <c r="AH80" s="4512"/>
      <c r="AI80" s="4512"/>
      <c r="AJ80" s="3870"/>
      <c r="AK80" s="3871"/>
      <c r="AL80" s="3871"/>
      <c r="AM80" s="3871"/>
      <c r="AN80" s="3871"/>
      <c r="AO80" s="3871"/>
      <c r="AP80" s="3872"/>
      <c r="AQ80" s="3870"/>
      <c r="AR80" s="3871"/>
      <c r="AS80" s="3871"/>
      <c r="AT80" s="3871"/>
      <c r="AU80" s="3871"/>
      <c r="AV80" s="3871"/>
      <c r="AW80" s="3872"/>
      <c r="AX80" s="3870"/>
      <c r="AY80" s="3871"/>
      <c r="AZ80" s="3871"/>
      <c r="BA80" s="3871"/>
      <c r="BB80" s="3871"/>
      <c r="BC80" s="3871"/>
      <c r="BD80" s="3872"/>
      <c r="BE80" s="3870"/>
      <c r="BF80" s="3871"/>
      <c r="BG80" s="3871"/>
      <c r="BH80" s="3871"/>
      <c r="BI80" s="3871"/>
      <c r="BJ80" s="3871"/>
      <c r="BK80" s="3872"/>
      <c r="BL80" s="3870"/>
      <c r="BM80" s="3871"/>
      <c r="BN80" s="3871"/>
      <c r="BO80" s="3871"/>
      <c r="BP80" s="3871"/>
      <c r="BQ80" s="3871"/>
      <c r="BR80" s="3872"/>
      <c r="BS80" s="3870"/>
      <c r="BT80" s="3871"/>
      <c r="BU80" s="3871"/>
      <c r="BV80" s="3871"/>
      <c r="BW80" s="3871"/>
      <c r="BX80" s="3871"/>
      <c r="BY80" s="3872"/>
      <c r="BZ80" s="3870"/>
      <c r="CA80" s="3871"/>
      <c r="CB80" s="3871"/>
      <c r="CC80" s="3871"/>
      <c r="CD80" s="3871"/>
      <c r="CE80" s="3871"/>
      <c r="CF80" s="3872"/>
      <c r="CG80" s="3870"/>
      <c r="CH80" s="3871"/>
      <c r="CI80" s="3871"/>
      <c r="CJ80" s="3871"/>
      <c r="CK80" s="3871"/>
      <c r="CL80" s="3871"/>
      <c r="CM80" s="3872"/>
      <c r="CN80" s="3870"/>
      <c r="CO80" s="3871"/>
      <c r="CP80" s="3871"/>
      <c r="CQ80" s="3871"/>
      <c r="CR80" s="3871"/>
      <c r="CS80" s="3871"/>
      <c r="CT80" s="3872"/>
      <c r="CU80" s="4513"/>
      <c r="CV80" s="4287" t="s">
        <v>613</v>
      </c>
      <c r="CW80" s="4093"/>
      <c r="CX80" s="4196"/>
      <c r="CY80" s="4196" t="str">
        <f>IF(T80="","",T80)</f>
        <v>Наименование признака дифференциации</v>
      </c>
      <c r="CZ80" s="4196"/>
      <c r="DA80" s="4196"/>
      <c r="DB80" s="3858">
        <v>0</v>
      </c>
    </row>
    <row s="4949" customFormat="1" customHeight="1" ht="23.25">
      <c r="A81" s="4183"/>
      <c r="B81" s="4183"/>
      <c r="C81" s="4183"/>
      <c r="D81" s="4183"/>
      <c r="E81" s="4184"/>
      <c r="F81" s="4184" t="s">
        <v>108</v>
      </c>
      <c r="G81" s="4184"/>
      <c r="H81" s="4184"/>
      <c r="I81" s="4185"/>
      <c r="J81" s="4186" t="str">
        <f>I80&amp;".1"</f>
        <v>1.3.1.1.1</v>
      </c>
      <c r="K81" s="4183"/>
      <c r="L81" s="4187" t="s">
        <v>538</v>
      </c>
      <c r="M81" s="4188"/>
      <c r="N81" s="4188"/>
      <c r="O81" s="4188"/>
      <c r="P81" s="4189"/>
      <c r="Q81" s="4189">
        <v>1</v>
      </c>
      <c r="R81" s="4191"/>
      <c r="S81" s="4192" t="str">
        <f>$J81</f>
        <v>1.3.1.1.1</v>
      </c>
      <c r="T81" s="4193" t="s">
        <v>539</v>
      </c>
      <c r="U81" s="4194"/>
      <c r="V81" s="3874"/>
      <c r="W81" s="3875"/>
      <c r="X81" s="3875"/>
      <c r="Y81" s="3875"/>
      <c r="Z81" s="3875"/>
      <c r="AA81" s="3875"/>
      <c r="AB81" s="3876"/>
      <c r="AC81" s="3874" t="s">
        <v>625</v>
      </c>
      <c r="AD81" s="3875"/>
      <c r="AE81" s="3875"/>
      <c r="AF81" s="3875"/>
      <c r="AG81" s="3875"/>
      <c r="AH81" s="3875"/>
      <c r="AI81" s="3875"/>
      <c r="AJ81" s="3874"/>
      <c r="AK81" s="3875"/>
      <c r="AL81" s="3875"/>
      <c r="AM81" s="3875"/>
      <c r="AN81" s="3875"/>
      <c r="AO81" s="3875"/>
      <c r="AP81" s="3876"/>
      <c r="AQ81" s="3874"/>
      <c r="AR81" s="3875"/>
      <c r="AS81" s="3875"/>
      <c r="AT81" s="3875"/>
      <c r="AU81" s="3875"/>
      <c r="AV81" s="3875"/>
      <c r="AW81" s="3876"/>
      <c r="AX81" s="3874"/>
      <c r="AY81" s="3875"/>
      <c r="AZ81" s="3875"/>
      <c r="BA81" s="3875"/>
      <c r="BB81" s="3875"/>
      <c r="BC81" s="3875"/>
      <c r="BD81" s="3876"/>
      <c r="BE81" s="3874"/>
      <c r="BF81" s="3875"/>
      <c r="BG81" s="3875"/>
      <c r="BH81" s="3875"/>
      <c r="BI81" s="3875"/>
      <c r="BJ81" s="3875"/>
      <c r="BK81" s="3876"/>
      <c r="BL81" s="3874"/>
      <c r="BM81" s="3875"/>
      <c r="BN81" s="3875"/>
      <c r="BO81" s="3875"/>
      <c r="BP81" s="3875"/>
      <c r="BQ81" s="3875"/>
      <c r="BR81" s="3876"/>
      <c r="BS81" s="3874"/>
      <c r="BT81" s="3875"/>
      <c r="BU81" s="3875"/>
      <c r="BV81" s="3875"/>
      <c r="BW81" s="3875"/>
      <c r="BX81" s="3875"/>
      <c r="BY81" s="3876"/>
      <c r="BZ81" s="3874"/>
      <c r="CA81" s="3875"/>
      <c r="CB81" s="3875"/>
      <c r="CC81" s="3875"/>
      <c r="CD81" s="3875"/>
      <c r="CE81" s="3875"/>
      <c r="CF81" s="3876"/>
      <c r="CG81" s="3874"/>
      <c r="CH81" s="3875"/>
      <c r="CI81" s="3875"/>
      <c r="CJ81" s="3875"/>
      <c r="CK81" s="3875"/>
      <c r="CL81" s="3875"/>
      <c r="CM81" s="3876"/>
      <c r="CN81" s="3874"/>
      <c r="CO81" s="3875"/>
      <c r="CP81" s="3875"/>
      <c r="CQ81" s="3875"/>
      <c r="CR81" s="3875"/>
      <c r="CS81" s="3875"/>
      <c r="CT81" s="3876"/>
      <c r="CU81" s="3876"/>
      <c r="CV81" s="4195" t="s">
        <v>614</v>
      </c>
      <c r="CW81" s="4093"/>
      <c r="CX81" s="4196"/>
      <c r="CY81" s="4196" t="str">
        <f>IF(T81="","",T81)</f>
        <v>Группа потребителей</v>
      </c>
      <c r="CZ81" s="4196"/>
      <c r="DA81" s="4196"/>
      <c r="DB81" s="3858">
        <v>0</v>
      </c>
    </row>
    <row s="4950" customFormat="1" customHeight="1" ht="23.25">
      <c r="A82" s="4183"/>
      <c r="B82" s="4183"/>
      <c r="C82" s="4183"/>
      <c r="D82" s="4183"/>
      <c r="E82" s="4184"/>
      <c r="F82" s="4184" t="s">
        <v>108</v>
      </c>
      <c r="G82" s="4184"/>
      <c r="H82" s="4184"/>
      <c r="I82" s="4185"/>
      <c r="J82" s="4185"/>
      <c r="K82" s="4186" t="str">
        <f>J81&amp;".1"</f>
        <v>1.3.1.1.1.1</v>
      </c>
      <c r="L82" s="4187"/>
      <c r="M82" s="4188"/>
      <c r="N82" s="4188"/>
      <c r="O82" s="4188"/>
      <c r="P82" s="4189"/>
      <c r="Q82" s="4189"/>
      <c r="R82" s="4191">
        <v>1</v>
      </c>
      <c r="S82" s="4192" t="str">
        <f>$K82</f>
        <v>1.3.1.1.1.1</v>
      </c>
      <c r="T82" s="4198"/>
      <c r="U82" s="4194"/>
      <c r="V82" s="3878"/>
      <c r="W82" s="3878"/>
      <c r="X82" s="3879"/>
      <c r="Y82" s="3880"/>
      <c r="Z82" s="3881" t="s">
        <v>65</v>
      </c>
      <c r="AA82" s="3880"/>
      <c r="AB82" s="3881" t="s">
        <v>65</v>
      </c>
      <c r="AC82" s="3878">
        <v>51.99</v>
      </c>
      <c r="AD82" s="3878"/>
      <c r="AE82" s="3879"/>
      <c r="AF82" s="3880">
        <v>45292</v>
      </c>
      <c r="AG82" s="3881" t="s">
        <v>65</v>
      </c>
      <c r="AH82" s="4116">
        <v>45473</v>
      </c>
      <c r="AI82" s="3881" t="s">
        <v>65</v>
      </c>
      <c r="AJ82" s="3878">
        <v>54.69</v>
      </c>
      <c r="AK82" s="3878"/>
      <c r="AL82" s="3879"/>
      <c r="AM82" s="3880">
        <v>45474</v>
      </c>
      <c r="AN82" s="3881" t="s">
        <v>65</v>
      </c>
      <c r="AO82" s="3880">
        <v>45657</v>
      </c>
      <c r="AP82" s="3881" t="s">
        <v>65</v>
      </c>
      <c r="AQ82" s="3878">
        <v>54.69</v>
      </c>
      <c r="AR82" s="3878"/>
      <c r="AS82" s="3879"/>
      <c r="AT82" s="3880">
        <v>45658</v>
      </c>
      <c r="AU82" s="3881" t="s">
        <v>65</v>
      </c>
      <c r="AV82" s="3880">
        <v>45838</v>
      </c>
      <c r="AW82" s="3881" t="s">
        <v>65</v>
      </c>
      <c r="AX82" s="3878">
        <v>60.3</v>
      </c>
      <c r="AY82" s="3878"/>
      <c r="AZ82" s="3879"/>
      <c r="BA82" s="3880">
        <v>45839</v>
      </c>
      <c r="BB82" s="3881" t="s">
        <v>65</v>
      </c>
      <c r="BC82" s="3880">
        <v>46022</v>
      </c>
      <c r="BD82" s="3881" t="s">
        <v>65</v>
      </c>
      <c r="BE82" s="3878">
        <v>57.81</v>
      </c>
      <c r="BF82" s="3878"/>
      <c r="BG82" s="3879"/>
      <c r="BH82" s="3880">
        <v>46023</v>
      </c>
      <c r="BI82" s="3881" t="s">
        <v>65</v>
      </c>
      <c r="BJ82" s="3880">
        <v>46203</v>
      </c>
      <c r="BK82" s="3881" t="s">
        <v>65</v>
      </c>
      <c r="BL82" s="3878">
        <v>60.12</v>
      </c>
      <c r="BM82" s="3878"/>
      <c r="BN82" s="3879"/>
      <c r="BO82" s="3880">
        <v>46204</v>
      </c>
      <c r="BP82" s="3881" t="s">
        <v>65</v>
      </c>
      <c r="BQ82" s="3880">
        <v>46387</v>
      </c>
      <c r="BR82" s="3881" t="s">
        <v>65</v>
      </c>
      <c r="BS82" s="3878">
        <v>60.12</v>
      </c>
      <c r="BT82" s="3878"/>
      <c r="BU82" s="3879"/>
      <c r="BV82" s="3880">
        <v>46388</v>
      </c>
      <c r="BW82" s="3881" t="s">
        <v>65</v>
      </c>
      <c r="BX82" s="3880">
        <v>46568</v>
      </c>
      <c r="BY82" s="3881" t="s">
        <v>65</v>
      </c>
      <c r="BZ82" s="3878">
        <v>62.52</v>
      </c>
      <c r="CA82" s="3878"/>
      <c r="CB82" s="3879"/>
      <c r="CC82" s="3880">
        <v>46569</v>
      </c>
      <c r="CD82" s="3881" t="s">
        <v>65</v>
      </c>
      <c r="CE82" s="3880">
        <v>46752</v>
      </c>
      <c r="CF82" s="3881" t="s">
        <v>65</v>
      </c>
      <c r="CG82" s="3878">
        <v>62.52</v>
      </c>
      <c r="CH82" s="3878"/>
      <c r="CI82" s="3879"/>
      <c r="CJ82" s="3880">
        <v>46753</v>
      </c>
      <c r="CK82" s="3881" t="s">
        <v>65</v>
      </c>
      <c r="CL82" s="3880">
        <v>46934</v>
      </c>
      <c r="CM82" s="3881" t="s">
        <v>65</v>
      </c>
      <c r="CN82" s="3878">
        <v>65.02</v>
      </c>
      <c r="CO82" s="3878"/>
      <c r="CP82" s="3879"/>
      <c r="CQ82" s="3880">
        <v>46935</v>
      </c>
      <c r="CR82" s="3881" t="s">
        <v>65</v>
      </c>
      <c r="CS82" s="3880">
        <v>47118</v>
      </c>
      <c r="CT82" s="3881" t="s">
        <v>65</v>
      </c>
      <c r="CU82" s="4199"/>
      <c r="CV8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82" s="4093">
        <f>STRCHECKDATE(V83:CU83)</f>
      </c>
      <c r="CX82" s="4196"/>
      <c r="CY82" s="4196" t="str">
        <f>IF(T82="","",T82)</f>
        <v/>
      </c>
      <c r="CZ82" s="4196"/>
      <c r="DA82" s="4196"/>
      <c r="DB82" s="3858">
        <v>0</v>
      </c>
    </row>
    <row s="4951" customFormat="1" customHeight="1" ht="14.25">
      <c r="A83" s="4183"/>
      <c r="B83" s="4183"/>
      <c r="C83" s="4183"/>
      <c r="D83" s="4183"/>
      <c r="E83" s="4184"/>
      <c r="F83" s="4184" t="s">
        <v>108</v>
      </c>
      <c r="G83" s="4184"/>
      <c r="H83" s="4184"/>
      <c r="I83" s="4185"/>
      <c r="J83" s="4185"/>
      <c r="K83" s="4186"/>
      <c r="L83" s="4187"/>
      <c r="M83" s="4188"/>
      <c r="N83" s="4188"/>
      <c r="O83" s="4188"/>
      <c r="P83" s="4189"/>
      <c r="Q83" s="4189"/>
      <c r="R83" s="4191"/>
      <c r="S83" s="4202"/>
      <c r="T83" s="4194"/>
      <c r="U83" s="4194"/>
      <c r="V83" s="3885"/>
      <c r="W83" s="3885"/>
      <c r="X83" s="3886" t="str">
        <f>Y82&amp;"-"&amp;AA82</f>
        <v>-</v>
      </c>
      <c r="Y83" s="3887"/>
      <c r="Z83" s="3881"/>
      <c r="AA83" s="3887"/>
      <c r="AB83" s="3881"/>
      <c r="AC83" s="3885"/>
      <c r="AD83" s="3885"/>
      <c r="AE83" s="3886" t="str">
        <f>AF82&amp;"-"&amp;AH82</f>
        <v>45292-45473</v>
      </c>
      <c r="AF83" s="3887"/>
      <c r="AG83" s="3881"/>
      <c r="AH83" s="4118"/>
      <c r="AI83" s="3881"/>
      <c r="AJ83" s="3885"/>
      <c r="AK83" s="3885"/>
      <c r="AL83" s="3886" t="str">
        <f>AM82&amp;"-"&amp;AO82</f>
        <v>45474-45657</v>
      </c>
      <c r="AM83" s="3887"/>
      <c r="AN83" s="3881"/>
      <c r="AO83" s="3887"/>
      <c r="AP83" s="3881"/>
      <c r="AQ83" s="3885"/>
      <c r="AR83" s="3885"/>
      <c r="AS83" s="3886" t="str">
        <f>AT82&amp;"-"&amp;AV82</f>
        <v>45658-45838</v>
      </c>
      <c r="AT83" s="3887"/>
      <c r="AU83" s="3881"/>
      <c r="AV83" s="3887"/>
      <c r="AW83" s="3881"/>
      <c r="AX83" s="3885"/>
      <c r="AY83" s="3885"/>
      <c r="AZ83" s="3886" t="str">
        <f>BA82&amp;"-"&amp;BC82</f>
        <v>45839-46022</v>
      </c>
      <c r="BA83" s="3887"/>
      <c r="BB83" s="3881"/>
      <c r="BC83" s="3887"/>
      <c r="BD83" s="3881"/>
      <c r="BE83" s="3885"/>
      <c r="BF83" s="3885"/>
      <c r="BG83" s="3886" t="str">
        <f>BH82&amp;"-"&amp;BJ82</f>
        <v>46023-46203</v>
      </c>
      <c r="BH83" s="3887"/>
      <c r="BI83" s="3881"/>
      <c r="BJ83" s="3887"/>
      <c r="BK83" s="3881"/>
      <c r="BL83" s="3885"/>
      <c r="BM83" s="3885"/>
      <c r="BN83" s="3886" t="str">
        <f>BO82&amp;"-"&amp;BQ82</f>
        <v>46204-46387</v>
      </c>
      <c r="BO83" s="3887"/>
      <c r="BP83" s="3881"/>
      <c r="BQ83" s="3887"/>
      <c r="BR83" s="3881"/>
      <c r="BS83" s="3885"/>
      <c r="BT83" s="3885"/>
      <c r="BU83" s="3886" t="str">
        <f>BV82&amp;"-"&amp;BX82</f>
        <v>46388-46568</v>
      </c>
      <c r="BV83" s="3887"/>
      <c r="BW83" s="3881"/>
      <c r="BX83" s="3887"/>
      <c r="BY83" s="3881"/>
      <c r="BZ83" s="3885"/>
      <c r="CA83" s="3885"/>
      <c r="CB83" s="3886" t="str">
        <f>CC82&amp;"-"&amp;CE82</f>
        <v>46569-46752</v>
      </c>
      <c r="CC83" s="3887"/>
      <c r="CD83" s="3881"/>
      <c r="CE83" s="3887"/>
      <c r="CF83" s="3881"/>
      <c r="CG83" s="3885"/>
      <c r="CH83" s="3885"/>
      <c r="CI83" s="3886" t="str">
        <f>CJ82&amp;"-"&amp;CL82</f>
        <v>46753-46934</v>
      </c>
      <c r="CJ83" s="3887"/>
      <c r="CK83" s="3881"/>
      <c r="CL83" s="3887"/>
      <c r="CM83" s="3881"/>
      <c r="CN83" s="3885"/>
      <c r="CO83" s="3885"/>
      <c r="CP83" s="3886" t="str">
        <f>CQ82&amp;"-"&amp;CS82</f>
        <v>46935-47118</v>
      </c>
      <c r="CQ83" s="3887"/>
      <c r="CR83" s="3881"/>
      <c r="CS83" s="3887"/>
      <c r="CT83" s="3881"/>
      <c r="CU83" s="4203"/>
      <c r="CV83" s="4200"/>
      <c r="CW83" s="4093"/>
      <c r="CX83" s="4196"/>
      <c r="CY83" s="4196" t="str">
        <f>IF(T83="","",T83)</f>
        <v/>
      </c>
      <c r="CZ83" s="4196"/>
      <c r="DA83" s="4196"/>
      <c r="DB83" s="3858">
        <v>0</v>
      </c>
    </row>
    <row s="4952" customFormat="1" customHeight="1" ht="21">
      <c r="A84" s="4183"/>
      <c r="B84" s="4183"/>
      <c r="C84" s="4183"/>
      <c r="D84" s="4183"/>
      <c r="E84" s="4184"/>
      <c r="F84" s="4184" t="s">
        <v>108</v>
      </c>
      <c r="G84" s="4184"/>
      <c r="H84" s="4184"/>
      <c r="I84" s="4185"/>
      <c r="J84" s="4186"/>
      <c r="K84" s="4183"/>
      <c r="L84" s="4187"/>
      <c r="M84" s="4188"/>
      <c r="N84" s="4188"/>
      <c r="O84" s="4188"/>
      <c r="P84" s="4189"/>
      <c r="Q84" s="4189"/>
      <c r="R84" s="4205"/>
      <c r="S84" s="4953"/>
      <c r="T84" s="4954" t="s">
        <v>615</v>
      </c>
      <c r="U84" s="4955"/>
      <c r="V84" s="4956"/>
      <c r="W84" s="4957"/>
      <c r="X84" s="4958"/>
      <c r="Y84" s="4959"/>
      <c r="Z84" s="4960"/>
      <c r="AA84" s="4961"/>
      <c r="AB84" s="4962"/>
      <c r="AC84" s="4963"/>
      <c r="AD84" s="4964"/>
      <c r="AE84" s="4965"/>
      <c r="AF84" s="4966"/>
      <c r="AG84" s="4967"/>
      <c r="AH84" s="4968"/>
      <c r="AI84" s="4969"/>
      <c r="AJ84" s="4970"/>
      <c r="AK84" s="4971"/>
      <c r="AL84" s="4972"/>
      <c r="AM84" s="4973"/>
      <c r="AN84" s="4974"/>
      <c r="AO84" s="4975"/>
      <c r="AP84" s="4976"/>
      <c r="AQ84" s="4977"/>
      <c r="AR84" s="4978"/>
      <c r="AS84" s="4979"/>
      <c r="AT84" s="4980"/>
      <c r="AU84" s="4981"/>
      <c r="AV84" s="4982"/>
      <c r="AW84" s="4983"/>
      <c r="AX84" s="4984"/>
      <c r="AY84" s="4985"/>
      <c r="AZ84" s="4986"/>
      <c r="BA84" s="4987"/>
      <c r="BB84" s="4988"/>
      <c r="BC84" s="4989"/>
      <c r="BD84" s="4990"/>
      <c r="BE84" s="4991"/>
      <c r="BF84" s="4992"/>
      <c r="BG84" s="4993"/>
      <c r="BH84" s="4994"/>
      <c r="BI84" s="4995"/>
      <c r="BJ84" s="4996"/>
      <c r="BK84" s="4997"/>
      <c r="BL84" s="4998"/>
      <c r="BM84" s="4999"/>
      <c r="BN84" s="5000"/>
      <c r="BO84" s="5001"/>
      <c r="BP84" s="5002"/>
      <c r="BQ84" s="5003"/>
      <c r="BR84" s="5004"/>
      <c r="BS84" s="5005"/>
      <c r="BT84" s="5006"/>
      <c r="BU84" s="5007"/>
      <c r="BV84" s="5008"/>
      <c r="BW84" s="5009"/>
      <c r="BX84" s="5010"/>
      <c r="BY84" s="5011"/>
      <c r="BZ84" s="5012"/>
      <c r="CA84" s="5013"/>
      <c r="CB84" s="5014"/>
      <c r="CC84" s="5015"/>
      <c r="CD84" s="5016"/>
      <c r="CE84" s="5017"/>
      <c r="CF84" s="5018"/>
      <c r="CG84" s="5019"/>
      <c r="CH84" s="5020"/>
      <c r="CI84" s="5021"/>
      <c r="CJ84" s="5022"/>
      <c r="CK84" s="5023"/>
      <c r="CL84" s="5024"/>
      <c r="CM84" s="5025"/>
      <c r="CN84" s="5026"/>
      <c r="CO84" s="5027"/>
      <c r="CP84" s="5028"/>
      <c r="CQ84" s="5029"/>
      <c r="CR84" s="5030"/>
      <c r="CS84" s="5031"/>
      <c r="CT84" s="5032"/>
      <c r="CU84" s="5033"/>
      <c r="CV84" s="4287" t="s">
        <v>616</v>
      </c>
      <c r="CW84" s="4093"/>
      <c r="CX84" s="4196"/>
      <c r="CY84" s="4196" t="str">
        <f>IF(T84="","",T84)</f>
        <v>Добавить значение признака дифференциации</v>
      </c>
      <c r="CZ84" s="4196"/>
      <c r="DA84" s="4196"/>
      <c r="DB84" s="3858">
        <v>0</v>
      </c>
    </row>
    <row s="5034" customFormat="1" customHeight="1" ht="23.25">
      <c r="A85" s="4183"/>
      <c r="B85" s="4183"/>
      <c r="C85" s="4183"/>
      <c r="D85" s="4183"/>
      <c r="E85" s="4184"/>
      <c r="F85" s="4184"/>
      <c r="G85" s="4184"/>
      <c r="H85" s="4184"/>
      <c r="I85" s="4185"/>
      <c r="J85" s="4186" t="str">
        <f>I80&amp;".2"</f>
        <v>1.3.1.1.2</v>
      </c>
      <c r="K85" s="4183"/>
      <c r="L85" s="4187" t="s">
        <v>538</v>
      </c>
      <c r="M85" s="4188"/>
      <c r="N85" s="4188"/>
      <c r="O85" s="4188"/>
      <c r="P85" s="4189"/>
      <c r="Q85" s="4190" t="s">
        <v>109</v>
      </c>
      <c r="R85" s="4191"/>
      <c r="S85" s="4192" t="str">
        <f>$J85</f>
        <v>1.3.1.1.2</v>
      </c>
      <c r="T85" s="4193" t="s">
        <v>539</v>
      </c>
      <c r="U85" s="4194"/>
      <c r="V85" s="3874"/>
      <c r="W85" s="3875"/>
      <c r="X85" s="3875"/>
      <c r="Y85" s="3875"/>
      <c r="Z85" s="3875"/>
      <c r="AA85" s="3875"/>
      <c r="AB85" s="3876"/>
      <c r="AC85" s="3874" t="s">
        <v>626</v>
      </c>
      <c r="AD85" s="3875"/>
      <c r="AE85" s="3875"/>
      <c r="AF85" s="3875"/>
      <c r="AG85" s="3875"/>
      <c r="AH85" s="3875"/>
      <c r="AI85" s="3875"/>
      <c r="AJ85" s="3874"/>
      <c r="AK85" s="3875"/>
      <c r="AL85" s="3875"/>
      <c r="AM85" s="3875"/>
      <c r="AN85" s="3875"/>
      <c r="AO85" s="3875"/>
      <c r="AP85" s="3876"/>
      <c r="AQ85" s="3874"/>
      <c r="AR85" s="3875"/>
      <c r="AS85" s="3875"/>
      <c r="AT85" s="3875"/>
      <c r="AU85" s="3875"/>
      <c r="AV85" s="3875"/>
      <c r="AW85" s="3876"/>
      <c r="AX85" s="3874"/>
      <c r="AY85" s="3875"/>
      <c r="AZ85" s="3875"/>
      <c r="BA85" s="3875"/>
      <c r="BB85" s="3875"/>
      <c r="BC85" s="3875"/>
      <c r="BD85" s="3876"/>
      <c r="BE85" s="3874"/>
      <c r="BF85" s="3875"/>
      <c r="BG85" s="3875"/>
      <c r="BH85" s="3875"/>
      <c r="BI85" s="3875"/>
      <c r="BJ85" s="3875"/>
      <c r="BK85" s="3876"/>
      <c r="BL85" s="3874"/>
      <c r="BM85" s="3875"/>
      <c r="BN85" s="3875"/>
      <c r="BO85" s="3875"/>
      <c r="BP85" s="3875"/>
      <c r="BQ85" s="3875"/>
      <c r="BR85" s="3876"/>
      <c r="BS85" s="3874"/>
      <c r="BT85" s="3875"/>
      <c r="BU85" s="3875"/>
      <c r="BV85" s="3875"/>
      <c r="BW85" s="3875"/>
      <c r="BX85" s="3875"/>
      <c r="BY85" s="3876"/>
      <c r="BZ85" s="3874"/>
      <c r="CA85" s="3875"/>
      <c r="CB85" s="3875"/>
      <c r="CC85" s="3875"/>
      <c r="CD85" s="3875"/>
      <c r="CE85" s="3875"/>
      <c r="CF85" s="3876"/>
      <c r="CG85" s="3874"/>
      <c r="CH85" s="3875"/>
      <c r="CI85" s="3875"/>
      <c r="CJ85" s="3875"/>
      <c r="CK85" s="3875"/>
      <c r="CL85" s="3875"/>
      <c r="CM85" s="3876"/>
      <c r="CN85" s="3874"/>
      <c r="CO85" s="3875"/>
      <c r="CP85" s="3875"/>
      <c r="CQ85" s="3875"/>
      <c r="CR85" s="3875"/>
      <c r="CS85" s="3875"/>
      <c r="CT85" s="3876"/>
      <c r="CU85" s="3876"/>
      <c r="CV85" s="4195" t="s">
        <v>614</v>
      </c>
      <c r="CW85" s="4093"/>
      <c r="CX85" s="4196"/>
      <c r="CY85" s="4196" t="str">
        <f>IF(T85="","",T85)</f>
        <v>Группа потребителей</v>
      </c>
      <c r="CZ85" s="4196"/>
      <c r="DA85" s="4196"/>
      <c r="DB85" s="3858">
        <v>0</v>
      </c>
    </row>
    <row s="5035" customFormat="1" customHeight="1" ht="23.25">
      <c r="A86" s="4183"/>
      <c r="B86" s="4183"/>
      <c r="C86" s="4183"/>
      <c r="D86" s="4183"/>
      <c r="E86" s="4184"/>
      <c r="F86" s="4184"/>
      <c r="G86" s="4184"/>
      <c r="H86" s="4184"/>
      <c r="I86" s="4185"/>
      <c r="J86" s="4185" t="str">
        <f>I80&amp;".1"</f>
        <v>1.3.1.1.1</v>
      </c>
      <c r="K86" s="4186" t="str">
        <f>J85&amp;".1"</f>
        <v>1.3.1.1.2.1</v>
      </c>
      <c r="L86" s="4187"/>
      <c r="M86" s="4188"/>
      <c r="N86" s="4188"/>
      <c r="O86" s="4188"/>
      <c r="P86" s="4189"/>
      <c r="Q86" s="4189"/>
      <c r="R86" s="4191">
        <v>1</v>
      </c>
      <c r="S86" s="4192" t="str">
        <f>$K86</f>
        <v>1.3.1.1.2.1</v>
      </c>
      <c r="T86" s="4198"/>
      <c r="U86" s="4194"/>
      <c r="V86" s="3878"/>
      <c r="W86" s="3878"/>
      <c r="X86" s="3879"/>
      <c r="Y86" s="3880"/>
      <c r="Z86" s="3881" t="s">
        <v>65</v>
      </c>
      <c r="AA86" s="3880"/>
      <c r="AB86" s="3881" t="s">
        <v>65</v>
      </c>
      <c r="AC86" s="3878">
        <v>51.99</v>
      </c>
      <c r="AD86" s="3878"/>
      <c r="AE86" s="3879"/>
      <c r="AF86" s="3880">
        <v>45292</v>
      </c>
      <c r="AG86" s="3881" t="s">
        <v>65</v>
      </c>
      <c r="AH86" s="4116">
        <v>45473</v>
      </c>
      <c r="AI86" s="3881" t="s">
        <v>65</v>
      </c>
      <c r="AJ86" s="3878">
        <v>54.69</v>
      </c>
      <c r="AK86" s="3878"/>
      <c r="AL86" s="3879"/>
      <c r="AM86" s="3880">
        <v>45474</v>
      </c>
      <c r="AN86" s="3881" t="s">
        <v>65</v>
      </c>
      <c r="AO86" s="3880">
        <v>45657</v>
      </c>
      <c r="AP86" s="3881" t="s">
        <v>65</v>
      </c>
      <c r="AQ86" s="3878">
        <v>54.69</v>
      </c>
      <c r="AR86" s="3878"/>
      <c r="AS86" s="3879"/>
      <c r="AT86" s="3880">
        <v>45658</v>
      </c>
      <c r="AU86" s="3881" t="s">
        <v>65</v>
      </c>
      <c r="AV86" s="3880">
        <v>45838</v>
      </c>
      <c r="AW86" s="3881" t="s">
        <v>65</v>
      </c>
      <c r="AX86" s="3878">
        <v>57.43</v>
      </c>
      <c r="AY86" s="3878"/>
      <c r="AZ86" s="3879"/>
      <c r="BA86" s="3880">
        <v>45839</v>
      </c>
      <c r="BB86" s="3881" t="s">
        <v>65</v>
      </c>
      <c r="BC86" s="3880">
        <v>46022</v>
      </c>
      <c r="BD86" s="3881" t="s">
        <v>65</v>
      </c>
      <c r="BE86" s="3878">
        <v>62.55</v>
      </c>
      <c r="BF86" s="3878"/>
      <c r="BG86" s="3879"/>
      <c r="BH86" s="3880">
        <v>46023</v>
      </c>
      <c r="BI86" s="3881" t="s">
        <v>65</v>
      </c>
      <c r="BJ86" s="3880">
        <v>46203</v>
      </c>
      <c r="BK86" s="3881" t="s">
        <v>65</v>
      </c>
      <c r="BL86" s="3878">
        <v>68.84</v>
      </c>
      <c r="BM86" s="3878"/>
      <c r="BN86" s="3879"/>
      <c r="BO86" s="3880">
        <v>46204</v>
      </c>
      <c r="BP86" s="3881" t="s">
        <v>65</v>
      </c>
      <c r="BQ86" s="3880">
        <v>46387</v>
      </c>
      <c r="BR86" s="3881" t="s">
        <v>65</v>
      </c>
      <c r="BS86" s="3878">
        <v>68.84</v>
      </c>
      <c r="BT86" s="3878"/>
      <c r="BU86" s="3879"/>
      <c r="BV86" s="3880">
        <v>46388</v>
      </c>
      <c r="BW86" s="3881" t="s">
        <v>65</v>
      </c>
      <c r="BX86" s="3880">
        <v>46568</v>
      </c>
      <c r="BY86" s="3881" t="s">
        <v>65</v>
      </c>
      <c r="BZ86" s="3878">
        <v>74.46</v>
      </c>
      <c r="CA86" s="3878"/>
      <c r="CB86" s="3879"/>
      <c r="CC86" s="3880">
        <v>46569</v>
      </c>
      <c r="CD86" s="3881" t="s">
        <v>65</v>
      </c>
      <c r="CE86" s="3880">
        <v>46752</v>
      </c>
      <c r="CF86" s="3881" t="s">
        <v>65</v>
      </c>
      <c r="CG86" s="3878">
        <v>74.46</v>
      </c>
      <c r="CH86" s="3878"/>
      <c r="CI86" s="3879"/>
      <c r="CJ86" s="3880">
        <v>46753</v>
      </c>
      <c r="CK86" s="3881" t="s">
        <v>65</v>
      </c>
      <c r="CL86" s="3880">
        <v>46934</v>
      </c>
      <c r="CM86" s="3881" t="s">
        <v>65</v>
      </c>
      <c r="CN86" s="3878">
        <v>81.66</v>
      </c>
      <c r="CO86" s="3878"/>
      <c r="CP86" s="3879"/>
      <c r="CQ86" s="3880">
        <v>46935</v>
      </c>
      <c r="CR86" s="3881" t="s">
        <v>65</v>
      </c>
      <c r="CS86" s="3880">
        <v>47118</v>
      </c>
      <c r="CT86" s="3881" t="s">
        <v>65</v>
      </c>
      <c r="CU86" s="4199"/>
      <c r="CV8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86" s="4093">
        <f>STRCHECKDATE(V87:CU87)</f>
      </c>
      <c r="CX86" s="4196"/>
      <c r="CY86" s="4196" t="str">
        <f>IF(T86="","",T86)</f>
        <v/>
      </c>
      <c r="CZ86" s="4196"/>
      <c r="DA86" s="4196"/>
      <c r="DB86" s="3858">
        <v>0</v>
      </c>
    </row>
    <row s="5036" customFormat="1" customHeight="1" ht="14.25">
      <c r="A87" s="4183"/>
      <c r="B87" s="4183"/>
      <c r="C87" s="4183"/>
      <c r="D87" s="4183"/>
      <c r="E87" s="4184"/>
      <c r="F87" s="4184"/>
      <c r="G87" s="4184"/>
      <c r="H87" s="4184"/>
      <c r="I87" s="4185"/>
      <c r="J87" s="4185" t="str">
        <f>I80&amp;".1"</f>
        <v>1.3.1.1.1</v>
      </c>
      <c r="K87" s="4186"/>
      <c r="L87" s="4187"/>
      <c r="M87" s="4188"/>
      <c r="N87" s="4188"/>
      <c r="O87" s="4188"/>
      <c r="P87" s="4189"/>
      <c r="Q87" s="4189"/>
      <c r="R87" s="4191"/>
      <c r="S87" s="4202"/>
      <c r="T87" s="4194"/>
      <c r="U87" s="4194"/>
      <c r="V87" s="3885"/>
      <c r="W87" s="3885"/>
      <c r="X87" s="3886" t="str">
        <f>Y86&amp;"-"&amp;AA86</f>
        <v>-</v>
      </c>
      <c r="Y87" s="3887"/>
      <c r="Z87" s="3881"/>
      <c r="AA87" s="3887"/>
      <c r="AB87" s="3881"/>
      <c r="AC87" s="3885"/>
      <c r="AD87" s="3885"/>
      <c r="AE87" s="3886" t="str">
        <f>AF86&amp;"-"&amp;AH86</f>
        <v>45292-45473</v>
      </c>
      <c r="AF87" s="3887"/>
      <c r="AG87" s="3881"/>
      <c r="AH87" s="4118"/>
      <c r="AI87" s="3881"/>
      <c r="AJ87" s="3885"/>
      <c r="AK87" s="3885"/>
      <c r="AL87" s="3886" t="str">
        <f>AM86&amp;"-"&amp;AO86</f>
        <v>45474-45657</v>
      </c>
      <c r="AM87" s="3887"/>
      <c r="AN87" s="3881"/>
      <c r="AO87" s="3887"/>
      <c r="AP87" s="3881"/>
      <c r="AQ87" s="3885"/>
      <c r="AR87" s="3885"/>
      <c r="AS87" s="3886" t="str">
        <f>AT86&amp;"-"&amp;AV86</f>
        <v>45658-45838</v>
      </c>
      <c r="AT87" s="3887"/>
      <c r="AU87" s="3881"/>
      <c r="AV87" s="3887"/>
      <c r="AW87" s="3881"/>
      <c r="AX87" s="3885"/>
      <c r="AY87" s="3885"/>
      <c r="AZ87" s="3886" t="str">
        <f>BA86&amp;"-"&amp;BC86</f>
        <v>45839-46022</v>
      </c>
      <c r="BA87" s="3887"/>
      <c r="BB87" s="3881"/>
      <c r="BC87" s="3887"/>
      <c r="BD87" s="3881"/>
      <c r="BE87" s="3885"/>
      <c r="BF87" s="3885"/>
      <c r="BG87" s="3886" t="str">
        <f>BH86&amp;"-"&amp;BJ86</f>
        <v>46023-46203</v>
      </c>
      <c r="BH87" s="3887"/>
      <c r="BI87" s="3881"/>
      <c r="BJ87" s="3887"/>
      <c r="BK87" s="3881"/>
      <c r="BL87" s="3885"/>
      <c r="BM87" s="3885"/>
      <c r="BN87" s="3886" t="str">
        <f>BO86&amp;"-"&amp;BQ86</f>
        <v>46204-46387</v>
      </c>
      <c r="BO87" s="3887"/>
      <c r="BP87" s="3881"/>
      <c r="BQ87" s="3887"/>
      <c r="BR87" s="3881"/>
      <c r="BS87" s="3885"/>
      <c r="BT87" s="3885"/>
      <c r="BU87" s="3886" t="str">
        <f>BV86&amp;"-"&amp;BX86</f>
        <v>46388-46568</v>
      </c>
      <c r="BV87" s="3887"/>
      <c r="BW87" s="3881"/>
      <c r="BX87" s="3887"/>
      <c r="BY87" s="3881"/>
      <c r="BZ87" s="3885"/>
      <c r="CA87" s="3885"/>
      <c r="CB87" s="3886" t="str">
        <f>CC86&amp;"-"&amp;CE86</f>
        <v>46569-46752</v>
      </c>
      <c r="CC87" s="3887"/>
      <c r="CD87" s="3881"/>
      <c r="CE87" s="3887"/>
      <c r="CF87" s="3881"/>
      <c r="CG87" s="3885"/>
      <c r="CH87" s="3885"/>
      <c r="CI87" s="3886" t="str">
        <f>CJ86&amp;"-"&amp;CL86</f>
        <v>46753-46934</v>
      </c>
      <c r="CJ87" s="3887"/>
      <c r="CK87" s="3881"/>
      <c r="CL87" s="3887"/>
      <c r="CM87" s="3881"/>
      <c r="CN87" s="3885"/>
      <c r="CO87" s="3885"/>
      <c r="CP87" s="3886" t="str">
        <f>CQ86&amp;"-"&amp;CS86</f>
        <v>46935-47118</v>
      </c>
      <c r="CQ87" s="3887"/>
      <c r="CR87" s="3881"/>
      <c r="CS87" s="3887"/>
      <c r="CT87" s="3881"/>
      <c r="CU87" s="4203"/>
      <c r="CV87" s="4200"/>
      <c r="CW87" s="4093"/>
      <c r="CX87" s="4196"/>
      <c r="CY87" s="4196" t="str">
        <f>IF(T87="","",T87)</f>
        <v/>
      </c>
      <c r="CZ87" s="4196"/>
      <c r="DA87" s="4196"/>
      <c r="DB87" s="3858">
        <v>0</v>
      </c>
    </row>
    <row s="5037" customFormat="1" customHeight="1" ht="21">
      <c r="A88" s="4183"/>
      <c r="B88" s="4183"/>
      <c r="C88" s="4183"/>
      <c r="D88" s="4183"/>
      <c r="E88" s="4184"/>
      <c r="F88" s="4184"/>
      <c r="G88" s="4184"/>
      <c r="H88" s="4184"/>
      <c r="I88" s="4185"/>
      <c r="J88" s="4186" t="str">
        <f>I80&amp;".1"</f>
        <v>1.3.1.1.1</v>
      </c>
      <c r="K88" s="4183"/>
      <c r="L88" s="4187"/>
      <c r="M88" s="4188"/>
      <c r="N88" s="4188"/>
      <c r="O88" s="4188"/>
      <c r="P88" s="4189"/>
      <c r="Q88" s="4189"/>
      <c r="R88" s="4205"/>
      <c r="S88" s="5038"/>
      <c r="T88" s="5039" t="s">
        <v>615</v>
      </c>
      <c r="U88" s="5040"/>
      <c r="V88" s="5041"/>
      <c r="W88" s="5042"/>
      <c r="X88" s="5043"/>
      <c r="Y88" s="5044"/>
      <c r="Z88" s="5045"/>
      <c r="AA88" s="5046"/>
      <c r="AB88" s="5047"/>
      <c r="AC88" s="5048"/>
      <c r="AD88" s="5049"/>
      <c r="AE88" s="5050"/>
      <c r="AF88" s="5051"/>
      <c r="AG88" s="5052"/>
      <c r="AH88" s="5053"/>
      <c r="AI88" s="5054"/>
      <c r="AJ88" s="5055"/>
      <c r="AK88" s="5056"/>
      <c r="AL88" s="5057"/>
      <c r="AM88" s="5058"/>
      <c r="AN88" s="5059"/>
      <c r="AO88" s="5060"/>
      <c r="AP88" s="5061"/>
      <c r="AQ88" s="5062"/>
      <c r="AR88" s="5063"/>
      <c r="AS88" s="5064"/>
      <c r="AT88" s="5065"/>
      <c r="AU88" s="5066"/>
      <c r="AV88" s="5067"/>
      <c r="AW88" s="5068"/>
      <c r="AX88" s="5069"/>
      <c r="AY88" s="5070"/>
      <c r="AZ88" s="5071"/>
      <c r="BA88" s="5072"/>
      <c r="BB88" s="5073"/>
      <c r="BC88" s="5074"/>
      <c r="BD88" s="5075"/>
      <c r="BE88" s="5076"/>
      <c r="BF88" s="5077"/>
      <c r="BG88" s="5078"/>
      <c r="BH88" s="5079"/>
      <c r="BI88" s="5080"/>
      <c r="BJ88" s="5081"/>
      <c r="BK88" s="5082"/>
      <c r="BL88" s="5083"/>
      <c r="BM88" s="5084"/>
      <c r="BN88" s="5085"/>
      <c r="BO88" s="5086"/>
      <c r="BP88" s="5087"/>
      <c r="BQ88" s="5088"/>
      <c r="BR88" s="5089"/>
      <c r="BS88" s="5090"/>
      <c r="BT88" s="5091"/>
      <c r="BU88" s="5092"/>
      <c r="BV88" s="5093"/>
      <c r="BW88" s="5094"/>
      <c r="BX88" s="5095"/>
      <c r="BY88" s="5096"/>
      <c r="BZ88" s="5097"/>
      <c r="CA88" s="5098"/>
      <c r="CB88" s="5099"/>
      <c r="CC88" s="5100"/>
      <c r="CD88" s="5101"/>
      <c r="CE88" s="5102"/>
      <c r="CF88" s="5103"/>
      <c r="CG88" s="5104"/>
      <c r="CH88" s="5105"/>
      <c r="CI88" s="5106"/>
      <c r="CJ88" s="5107"/>
      <c r="CK88" s="5108"/>
      <c r="CL88" s="5109"/>
      <c r="CM88" s="5110"/>
      <c r="CN88" s="5111"/>
      <c r="CO88" s="5112"/>
      <c r="CP88" s="5113"/>
      <c r="CQ88" s="5114"/>
      <c r="CR88" s="5115"/>
      <c r="CS88" s="5116"/>
      <c r="CT88" s="5117"/>
      <c r="CU88" s="5118"/>
      <c r="CV88" s="4287" t="s">
        <v>616</v>
      </c>
      <c r="CW88" s="4093"/>
      <c r="CX88" s="4196"/>
      <c r="CY88" s="4196" t="str">
        <f>IF(T88="","",T88)</f>
        <v>Добавить значение признака дифференциации</v>
      </c>
      <c r="CZ88" s="4196"/>
      <c r="DA88" s="4196"/>
      <c r="DB88" s="3858">
        <v>0</v>
      </c>
    </row>
    <row s="5119" customFormat="1" customHeight="1" ht="23.25">
      <c r="A89" s="4183"/>
      <c r="B89" s="4183"/>
      <c r="C89" s="4183"/>
      <c r="D89" s="4183"/>
      <c r="E89" s="4184"/>
      <c r="F89" s="4184"/>
      <c r="G89" s="4184"/>
      <c r="H89" s="4184"/>
      <c r="I89" s="4185"/>
      <c r="J89" s="4186" t="str">
        <f>I80&amp;".3"</f>
        <v>1.3.1.1.3</v>
      </c>
      <c r="K89" s="4183"/>
      <c r="L89" s="4187" t="s">
        <v>538</v>
      </c>
      <c r="M89" s="4188"/>
      <c r="N89" s="4188"/>
      <c r="O89" s="4188"/>
      <c r="P89" s="4189"/>
      <c r="Q89" s="4190" t="s">
        <v>109</v>
      </c>
      <c r="R89" s="4191"/>
      <c r="S89" s="4192" t="str">
        <f>$J89</f>
        <v>1.3.1.1.3</v>
      </c>
      <c r="T89" s="4193" t="s">
        <v>539</v>
      </c>
      <c r="U89" s="4194"/>
      <c r="V89" s="3874"/>
      <c r="W89" s="3875"/>
      <c r="X89" s="3875"/>
      <c r="Y89" s="3875"/>
      <c r="Z89" s="3875"/>
      <c r="AA89" s="3875"/>
      <c r="AB89" s="3876"/>
      <c r="AC89" s="3874" t="s">
        <v>627</v>
      </c>
      <c r="AD89" s="3875"/>
      <c r="AE89" s="3875"/>
      <c r="AF89" s="3875"/>
      <c r="AG89" s="3875"/>
      <c r="AH89" s="3875"/>
      <c r="AI89" s="3875"/>
      <c r="AJ89" s="3874"/>
      <c r="AK89" s="3875"/>
      <c r="AL89" s="3875"/>
      <c r="AM89" s="3875"/>
      <c r="AN89" s="3875"/>
      <c r="AO89" s="3875"/>
      <c r="AP89" s="3876"/>
      <c r="AQ89" s="3874"/>
      <c r="AR89" s="3875"/>
      <c r="AS89" s="3875"/>
      <c r="AT89" s="3875"/>
      <c r="AU89" s="3875"/>
      <c r="AV89" s="3875"/>
      <c r="AW89" s="3876"/>
      <c r="AX89" s="3874"/>
      <c r="AY89" s="3875"/>
      <c r="AZ89" s="3875"/>
      <c r="BA89" s="3875"/>
      <c r="BB89" s="3875"/>
      <c r="BC89" s="3875"/>
      <c r="BD89" s="3876"/>
      <c r="BE89" s="3874"/>
      <c r="BF89" s="3875"/>
      <c r="BG89" s="3875"/>
      <c r="BH89" s="3875"/>
      <c r="BI89" s="3875"/>
      <c r="BJ89" s="3875"/>
      <c r="BK89" s="3876"/>
      <c r="BL89" s="3874"/>
      <c r="BM89" s="3875"/>
      <c r="BN89" s="3875"/>
      <c r="BO89" s="3875"/>
      <c r="BP89" s="3875"/>
      <c r="BQ89" s="3875"/>
      <c r="BR89" s="3876"/>
      <c r="BS89" s="3874"/>
      <c r="BT89" s="3875"/>
      <c r="BU89" s="3875"/>
      <c r="BV89" s="3875"/>
      <c r="BW89" s="3875"/>
      <c r="BX89" s="3875"/>
      <c r="BY89" s="3876"/>
      <c r="BZ89" s="3874"/>
      <c r="CA89" s="3875"/>
      <c r="CB89" s="3875"/>
      <c r="CC89" s="3875"/>
      <c r="CD89" s="3875"/>
      <c r="CE89" s="3875"/>
      <c r="CF89" s="3876"/>
      <c r="CG89" s="3874"/>
      <c r="CH89" s="3875"/>
      <c r="CI89" s="3875"/>
      <c r="CJ89" s="3875"/>
      <c r="CK89" s="3875"/>
      <c r="CL89" s="3875"/>
      <c r="CM89" s="3876"/>
      <c r="CN89" s="3874"/>
      <c r="CO89" s="3875"/>
      <c r="CP89" s="3875"/>
      <c r="CQ89" s="3875"/>
      <c r="CR89" s="3875"/>
      <c r="CS89" s="3875"/>
      <c r="CT89" s="3876"/>
      <c r="CU89" s="3876"/>
      <c r="CV89" s="4195" t="s">
        <v>614</v>
      </c>
      <c r="CW89" s="4093"/>
      <c r="CX89" s="4196"/>
      <c r="CY89" s="4196" t="str">
        <f>IF(T89="","",T89)</f>
        <v>Группа потребителей</v>
      </c>
      <c r="CZ89" s="4196"/>
      <c r="DA89" s="4196"/>
      <c r="DB89" s="3858">
        <v>0</v>
      </c>
    </row>
    <row s="5120" customFormat="1" customHeight="1" ht="23.25">
      <c r="A90" s="4183"/>
      <c r="B90" s="4183"/>
      <c r="C90" s="4183"/>
      <c r="D90" s="4183"/>
      <c r="E90" s="4184"/>
      <c r="F90" s="4184"/>
      <c r="G90" s="4184"/>
      <c r="H90" s="4184"/>
      <c r="I90" s="4185"/>
      <c r="J90" s="4185" t="str">
        <f>I80&amp;".2"</f>
        <v>1.3.1.1.2</v>
      </c>
      <c r="K90" s="4186" t="str">
        <f>J89&amp;".1"</f>
        <v>1.3.1.1.3.1</v>
      </c>
      <c r="L90" s="4187"/>
      <c r="M90" s="4188"/>
      <c r="N90" s="4188"/>
      <c r="O90" s="4188"/>
      <c r="P90" s="4189"/>
      <c r="Q90" s="4189"/>
      <c r="R90" s="4191">
        <v>1</v>
      </c>
      <c r="S90" s="4192" t="str">
        <f>$K90</f>
        <v>1.3.1.1.3.1</v>
      </c>
      <c r="T90" s="4198"/>
      <c r="U90" s="4194"/>
      <c r="V90" s="3878"/>
      <c r="W90" s="3878"/>
      <c r="X90" s="3879"/>
      <c r="Y90" s="3880"/>
      <c r="Z90" s="3881" t="s">
        <v>65</v>
      </c>
      <c r="AA90" s="3880"/>
      <c r="AB90" s="3881" t="s">
        <v>65</v>
      </c>
      <c r="AC90" s="3878">
        <v>51.99</v>
      </c>
      <c r="AD90" s="3878"/>
      <c r="AE90" s="3879"/>
      <c r="AF90" s="3880">
        <v>45292</v>
      </c>
      <c r="AG90" s="3881" t="s">
        <v>65</v>
      </c>
      <c r="AH90" s="4116">
        <v>45473</v>
      </c>
      <c r="AI90" s="3881" t="s">
        <v>65</v>
      </c>
      <c r="AJ90" s="3878">
        <v>54.69</v>
      </c>
      <c r="AK90" s="3878"/>
      <c r="AL90" s="3879"/>
      <c r="AM90" s="3880">
        <v>45474</v>
      </c>
      <c r="AN90" s="3881" t="s">
        <v>65</v>
      </c>
      <c r="AO90" s="3880">
        <v>45657</v>
      </c>
      <c r="AP90" s="3881" t="s">
        <v>65</v>
      </c>
      <c r="AQ90" s="3878">
        <v>54.69</v>
      </c>
      <c r="AR90" s="3878"/>
      <c r="AS90" s="3879"/>
      <c r="AT90" s="3880">
        <v>45658</v>
      </c>
      <c r="AU90" s="3881" t="s">
        <v>65</v>
      </c>
      <c r="AV90" s="3880">
        <v>45838</v>
      </c>
      <c r="AW90" s="3881" t="s">
        <v>65</v>
      </c>
      <c r="AX90" s="3878">
        <v>57.43</v>
      </c>
      <c r="AY90" s="3878"/>
      <c r="AZ90" s="3879"/>
      <c r="BA90" s="3880">
        <v>45839</v>
      </c>
      <c r="BB90" s="3881" t="s">
        <v>65</v>
      </c>
      <c r="BC90" s="3880">
        <v>46022</v>
      </c>
      <c r="BD90" s="3881" t="s">
        <v>65</v>
      </c>
      <c r="BE90" s="3878">
        <v>62.55</v>
      </c>
      <c r="BF90" s="3878"/>
      <c r="BG90" s="3879"/>
      <c r="BH90" s="3880">
        <v>46023</v>
      </c>
      <c r="BI90" s="3881" t="s">
        <v>65</v>
      </c>
      <c r="BJ90" s="3880">
        <v>46203</v>
      </c>
      <c r="BK90" s="3881" t="s">
        <v>65</v>
      </c>
      <c r="BL90" s="3878">
        <v>68.84</v>
      </c>
      <c r="BM90" s="3878"/>
      <c r="BN90" s="3879"/>
      <c r="BO90" s="3880">
        <v>46204</v>
      </c>
      <c r="BP90" s="3881" t="s">
        <v>65</v>
      </c>
      <c r="BQ90" s="3880">
        <v>46387</v>
      </c>
      <c r="BR90" s="3881" t="s">
        <v>65</v>
      </c>
      <c r="BS90" s="3878">
        <v>68.84</v>
      </c>
      <c r="BT90" s="3878"/>
      <c r="BU90" s="3879"/>
      <c r="BV90" s="3880">
        <v>46388</v>
      </c>
      <c r="BW90" s="3881" t="s">
        <v>65</v>
      </c>
      <c r="BX90" s="3880">
        <v>46568</v>
      </c>
      <c r="BY90" s="3881" t="s">
        <v>65</v>
      </c>
      <c r="BZ90" s="3878">
        <v>74.46</v>
      </c>
      <c r="CA90" s="3878"/>
      <c r="CB90" s="3879"/>
      <c r="CC90" s="3880">
        <v>46569</v>
      </c>
      <c r="CD90" s="3881" t="s">
        <v>65</v>
      </c>
      <c r="CE90" s="3880">
        <v>46752</v>
      </c>
      <c r="CF90" s="3881" t="s">
        <v>65</v>
      </c>
      <c r="CG90" s="3878">
        <v>74.46</v>
      </c>
      <c r="CH90" s="3878"/>
      <c r="CI90" s="3879"/>
      <c r="CJ90" s="3880">
        <v>46753</v>
      </c>
      <c r="CK90" s="3881" t="s">
        <v>65</v>
      </c>
      <c r="CL90" s="3880">
        <v>46934</v>
      </c>
      <c r="CM90" s="3881" t="s">
        <v>65</v>
      </c>
      <c r="CN90" s="3878">
        <v>81.66</v>
      </c>
      <c r="CO90" s="3878"/>
      <c r="CP90" s="3879"/>
      <c r="CQ90" s="3880">
        <v>46935</v>
      </c>
      <c r="CR90" s="3881" t="s">
        <v>65</v>
      </c>
      <c r="CS90" s="3880">
        <v>47118</v>
      </c>
      <c r="CT90" s="3881" t="s">
        <v>65</v>
      </c>
      <c r="CU90" s="4199"/>
      <c r="CV9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90" s="4093">
        <f>STRCHECKDATE(V91:CU91)</f>
      </c>
      <c r="CX90" s="4196"/>
      <c r="CY90" s="4196" t="str">
        <f>IF(T90="","",T90)</f>
        <v/>
      </c>
      <c r="CZ90" s="4196"/>
      <c r="DA90" s="4196"/>
      <c r="DB90" s="3858">
        <v>0</v>
      </c>
    </row>
    <row s="5121" customFormat="1" customHeight="1" ht="14.25">
      <c r="A91" s="4183"/>
      <c r="B91" s="4183"/>
      <c r="C91" s="4183"/>
      <c r="D91" s="4183"/>
      <c r="E91" s="4184"/>
      <c r="F91" s="4184"/>
      <c r="G91" s="4184"/>
      <c r="H91" s="4184"/>
      <c r="I91" s="4185"/>
      <c r="J91" s="4185" t="str">
        <f>I80&amp;".2"</f>
        <v>1.3.1.1.2</v>
      </c>
      <c r="K91" s="4186"/>
      <c r="L91" s="4187"/>
      <c r="M91" s="4188"/>
      <c r="N91" s="4188"/>
      <c r="O91" s="4188"/>
      <c r="P91" s="4189"/>
      <c r="Q91" s="4189"/>
      <c r="R91" s="4191"/>
      <c r="S91" s="4202"/>
      <c r="T91" s="4194"/>
      <c r="U91" s="4194"/>
      <c r="V91" s="3885"/>
      <c r="W91" s="3885"/>
      <c r="X91" s="3886" t="str">
        <f>Y90&amp;"-"&amp;AA90</f>
        <v>-</v>
      </c>
      <c r="Y91" s="3887"/>
      <c r="Z91" s="3881"/>
      <c r="AA91" s="3887"/>
      <c r="AB91" s="3881"/>
      <c r="AC91" s="3885"/>
      <c r="AD91" s="3885"/>
      <c r="AE91" s="3886" t="str">
        <f>AF90&amp;"-"&amp;AH90</f>
        <v>45292-45473</v>
      </c>
      <c r="AF91" s="3887"/>
      <c r="AG91" s="3881"/>
      <c r="AH91" s="4118"/>
      <c r="AI91" s="3881"/>
      <c r="AJ91" s="3885"/>
      <c r="AK91" s="3885"/>
      <c r="AL91" s="3886" t="str">
        <f>AM90&amp;"-"&amp;AO90</f>
        <v>45474-45657</v>
      </c>
      <c r="AM91" s="3887"/>
      <c r="AN91" s="3881"/>
      <c r="AO91" s="3887"/>
      <c r="AP91" s="3881"/>
      <c r="AQ91" s="3885"/>
      <c r="AR91" s="3885"/>
      <c r="AS91" s="3886" t="str">
        <f>AT90&amp;"-"&amp;AV90</f>
        <v>45658-45838</v>
      </c>
      <c r="AT91" s="3887"/>
      <c r="AU91" s="3881"/>
      <c r="AV91" s="3887"/>
      <c r="AW91" s="3881"/>
      <c r="AX91" s="3885"/>
      <c r="AY91" s="3885"/>
      <c r="AZ91" s="3886" t="str">
        <f>BA90&amp;"-"&amp;BC90</f>
        <v>45839-46022</v>
      </c>
      <c r="BA91" s="3887"/>
      <c r="BB91" s="3881"/>
      <c r="BC91" s="3887"/>
      <c r="BD91" s="3881"/>
      <c r="BE91" s="3885"/>
      <c r="BF91" s="3885"/>
      <c r="BG91" s="3886" t="str">
        <f>BH90&amp;"-"&amp;BJ90</f>
        <v>46023-46203</v>
      </c>
      <c r="BH91" s="3887"/>
      <c r="BI91" s="3881"/>
      <c r="BJ91" s="3887"/>
      <c r="BK91" s="3881"/>
      <c r="BL91" s="3885"/>
      <c r="BM91" s="3885"/>
      <c r="BN91" s="3886" t="str">
        <f>BO90&amp;"-"&amp;BQ90</f>
        <v>46204-46387</v>
      </c>
      <c r="BO91" s="3887"/>
      <c r="BP91" s="3881"/>
      <c r="BQ91" s="3887"/>
      <c r="BR91" s="3881"/>
      <c r="BS91" s="3885"/>
      <c r="BT91" s="3885"/>
      <c r="BU91" s="3886" t="str">
        <f>BV90&amp;"-"&amp;BX90</f>
        <v>46388-46568</v>
      </c>
      <c r="BV91" s="3887"/>
      <c r="BW91" s="3881"/>
      <c r="BX91" s="3887"/>
      <c r="BY91" s="3881"/>
      <c r="BZ91" s="3885"/>
      <c r="CA91" s="3885"/>
      <c r="CB91" s="3886" t="str">
        <f>CC90&amp;"-"&amp;CE90</f>
        <v>46569-46752</v>
      </c>
      <c r="CC91" s="3887"/>
      <c r="CD91" s="3881"/>
      <c r="CE91" s="3887"/>
      <c r="CF91" s="3881"/>
      <c r="CG91" s="3885"/>
      <c r="CH91" s="3885"/>
      <c r="CI91" s="3886" t="str">
        <f>CJ90&amp;"-"&amp;CL90</f>
        <v>46753-46934</v>
      </c>
      <c r="CJ91" s="3887"/>
      <c r="CK91" s="3881"/>
      <c r="CL91" s="3887"/>
      <c r="CM91" s="3881"/>
      <c r="CN91" s="3885"/>
      <c r="CO91" s="3885"/>
      <c r="CP91" s="3886" t="str">
        <f>CQ90&amp;"-"&amp;CS90</f>
        <v>46935-47118</v>
      </c>
      <c r="CQ91" s="3887"/>
      <c r="CR91" s="3881"/>
      <c r="CS91" s="3887"/>
      <c r="CT91" s="3881"/>
      <c r="CU91" s="4203"/>
      <c r="CV91" s="4200"/>
      <c r="CW91" s="4093"/>
      <c r="CX91" s="4196"/>
      <c r="CY91" s="4196" t="str">
        <f>IF(T91="","",T91)</f>
        <v/>
      </c>
      <c r="CZ91" s="4196"/>
      <c r="DA91" s="4196"/>
      <c r="DB91" s="3858">
        <v>0</v>
      </c>
    </row>
    <row s="5122" customFormat="1" customHeight="1" ht="21">
      <c r="A92" s="4183"/>
      <c r="B92" s="4183"/>
      <c r="C92" s="4183"/>
      <c r="D92" s="4183"/>
      <c r="E92" s="4184"/>
      <c r="F92" s="4184"/>
      <c r="G92" s="4184"/>
      <c r="H92" s="4184"/>
      <c r="I92" s="4185"/>
      <c r="J92" s="4186" t="str">
        <f>I80&amp;".2"</f>
        <v>1.3.1.1.2</v>
      </c>
      <c r="K92" s="4183"/>
      <c r="L92" s="4187"/>
      <c r="M92" s="4188"/>
      <c r="N92" s="4188"/>
      <c r="O92" s="4188"/>
      <c r="P92" s="4189"/>
      <c r="Q92" s="4189"/>
      <c r="R92" s="4205"/>
      <c r="S92" s="5123"/>
      <c r="T92" s="5124" t="s">
        <v>615</v>
      </c>
      <c r="U92" s="5125"/>
      <c r="V92" s="5126"/>
      <c r="W92" s="5127"/>
      <c r="X92" s="5128"/>
      <c r="Y92" s="5129"/>
      <c r="Z92" s="5130"/>
      <c r="AA92" s="5131"/>
      <c r="AB92" s="5132"/>
      <c r="AC92" s="5133"/>
      <c r="AD92" s="5134"/>
      <c r="AE92" s="5135"/>
      <c r="AF92" s="5136"/>
      <c r="AG92" s="5137"/>
      <c r="AH92" s="5138"/>
      <c r="AI92" s="5139"/>
      <c r="AJ92" s="5140"/>
      <c r="AK92" s="5141"/>
      <c r="AL92" s="5142"/>
      <c r="AM92" s="5143"/>
      <c r="AN92" s="5144"/>
      <c r="AO92" s="5145"/>
      <c r="AP92" s="5146"/>
      <c r="AQ92" s="5147"/>
      <c r="AR92" s="5148"/>
      <c r="AS92" s="5149"/>
      <c r="AT92" s="5150"/>
      <c r="AU92" s="5151"/>
      <c r="AV92" s="5152"/>
      <c r="AW92" s="5153"/>
      <c r="AX92" s="5154"/>
      <c r="AY92" s="5155"/>
      <c r="AZ92" s="5156"/>
      <c r="BA92" s="5157"/>
      <c r="BB92" s="5158"/>
      <c r="BC92" s="5159"/>
      <c r="BD92" s="5160"/>
      <c r="BE92" s="5161"/>
      <c r="BF92" s="5162"/>
      <c r="BG92" s="5163"/>
      <c r="BH92" s="5164"/>
      <c r="BI92" s="5165"/>
      <c r="BJ92" s="5166"/>
      <c r="BK92" s="5167"/>
      <c r="BL92" s="5168"/>
      <c r="BM92" s="5169"/>
      <c r="BN92" s="5170"/>
      <c r="BO92" s="5171"/>
      <c r="BP92" s="5172"/>
      <c r="BQ92" s="5173"/>
      <c r="BR92" s="5174"/>
      <c r="BS92" s="5175"/>
      <c r="BT92" s="5176"/>
      <c r="BU92" s="5177"/>
      <c r="BV92" s="5178"/>
      <c r="BW92" s="5179"/>
      <c r="BX92" s="5180"/>
      <c r="BY92" s="5181"/>
      <c r="BZ92" s="5182"/>
      <c r="CA92" s="5183"/>
      <c r="CB92" s="5184"/>
      <c r="CC92" s="5185"/>
      <c r="CD92" s="5186"/>
      <c r="CE92" s="5187"/>
      <c r="CF92" s="5188"/>
      <c r="CG92" s="5189"/>
      <c r="CH92" s="5190"/>
      <c r="CI92" s="5191"/>
      <c r="CJ92" s="5192"/>
      <c r="CK92" s="5193"/>
      <c r="CL92" s="5194"/>
      <c r="CM92" s="5195"/>
      <c r="CN92" s="5196"/>
      <c r="CO92" s="5197"/>
      <c r="CP92" s="5198"/>
      <c r="CQ92" s="5199"/>
      <c r="CR92" s="5200"/>
      <c r="CS92" s="5201"/>
      <c r="CT92" s="5202"/>
      <c r="CU92" s="5203"/>
      <c r="CV92" s="4287" t="s">
        <v>616</v>
      </c>
      <c r="CW92" s="4093"/>
      <c r="CX92" s="4196"/>
      <c r="CY92" s="4196" t="str">
        <f>IF(T92="","",T92)</f>
        <v>Добавить значение признака дифференциации</v>
      </c>
      <c r="CZ92" s="4196"/>
      <c r="DA92" s="4196"/>
      <c r="DB92" s="3858">
        <v>0</v>
      </c>
    </row>
    <row s="5204" customFormat="1" customHeight="1" ht="21">
      <c r="A93" s="4183"/>
      <c r="B93" s="4183"/>
      <c r="C93" s="4183"/>
      <c r="D93" s="4183"/>
      <c r="E93" s="4184"/>
      <c r="F93" s="4184" t="s">
        <v>108</v>
      </c>
      <c r="G93" s="4184"/>
      <c r="H93" s="4184"/>
      <c r="I93" s="4186"/>
      <c r="J93" s="4183"/>
      <c r="K93" s="4183"/>
      <c r="L93" s="4187"/>
      <c r="M93" s="4188"/>
      <c r="N93" s="4188"/>
      <c r="O93" s="4188"/>
      <c r="P93" s="4189"/>
      <c r="Q93" s="4189"/>
      <c r="R93" s="4205"/>
      <c r="S93" s="5205"/>
      <c r="T93" s="5206" t="s">
        <v>544</v>
      </c>
      <c r="U93" s="5207"/>
      <c r="V93" s="5208"/>
      <c r="W93" s="5209"/>
      <c r="X93" s="5210"/>
      <c r="Y93" s="5211"/>
      <c r="Z93" s="5212"/>
      <c r="AA93" s="5213"/>
      <c r="AB93" s="5214"/>
      <c r="AC93" s="5215"/>
      <c r="AD93" s="5216"/>
      <c r="AE93" s="5217"/>
      <c r="AF93" s="5218"/>
      <c r="AG93" s="5219"/>
      <c r="AH93" s="5220"/>
      <c r="AI93" s="5221"/>
      <c r="AJ93" s="5222"/>
      <c r="AK93" s="5223"/>
      <c r="AL93" s="5224"/>
      <c r="AM93" s="5225"/>
      <c r="AN93" s="5226"/>
      <c r="AO93" s="5227"/>
      <c r="AP93" s="5228"/>
      <c r="AQ93" s="5229"/>
      <c r="AR93" s="5230"/>
      <c r="AS93" s="5231"/>
      <c r="AT93" s="5232"/>
      <c r="AU93" s="5233"/>
      <c r="AV93" s="5234"/>
      <c r="AW93" s="5235"/>
      <c r="AX93" s="5236"/>
      <c r="AY93" s="5237"/>
      <c r="AZ93" s="5238"/>
      <c r="BA93" s="5239"/>
      <c r="BB93" s="5240"/>
      <c r="BC93" s="5241"/>
      <c r="BD93" s="5242"/>
      <c r="BE93" s="5243"/>
      <c r="BF93" s="5244"/>
      <c r="BG93" s="5245"/>
      <c r="BH93" s="5246"/>
      <c r="BI93" s="5247"/>
      <c r="BJ93" s="5248"/>
      <c r="BK93" s="5249"/>
      <c r="BL93" s="5250"/>
      <c r="BM93" s="5251"/>
      <c r="BN93" s="5252"/>
      <c r="BO93" s="5253"/>
      <c r="BP93" s="5254"/>
      <c r="BQ93" s="5255"/>
      <c r="BR93" s="5256"/>
      <c r="BS93" s="5257"/>
      <c r="BT93" s="5258"/>
      <c r="BU93" s="5259"/>
      <c r="BV93" s="5260"/>
      <c r="BW93" s="5261"/>
      <c r="BX93" s="5262"/>
      <c r="BY93" s="5263"/>
      <c r="BZ93" s="5264"/>
      <c r="CA93" s="5265"/>
      <c r="CB93" s="5266"/>
      <c r="CC93" s="5267"/>
      <c r="CD93" s="5268"/>
      <c r="CE93" s="5269"/>
      <c r="CF93" s="5270"/>
      <c r="CG93" s="5271"/>
      <c r="CH93" s="5272"/>
      <c r="CI93" s="5273"/>
      <c r="CJ93" s="5274"/>
      <c r="CK93" s="5275"/>
      <c r="CL93" s="5276"/>
      <c r="CM93" s="5277"/>
      <c r="CN93" s="5278"/>
      <c r="CO93" s="5279"/>
      <c r="CP93" s="5280"/>
      <c r="CQ93" s="5281"/>
      <c r="CR93" s="5282"/>
      <c r="CS93" s="5283"/>
      <c r="CT93" s="5284"/>
      <c r="CU93" s="5285"/>
      <c r="CV93" s="5286"/>
      <c r="CW93" s="4093"/>
      <c r="CX93" s="4196"/>
      <c r="CY93" s="4196" t="str">
        <f>IF(T93="","",T93)</f>
        <v>Добавить группу потребителей</v>
      </c>
      <c r="CZ93" s="4196"/>
      <c r="DA93" s="4196"/>
      <c r="DB93" s="3858">
        <v>0</v>
      </c>
    </row>
    <row s="5287" customFormat="1" customHeight="1" ht="14.25">
      <c r="A94" s="4183"/>
      <c r="B94" s="4183"/>
      <c r="C94" s="4183"/>
      <c r="D94" s="4183"/>
      <c r="E94" s="4184"/>
      <c r="F94" s="4184" t="s">
        <v>108</v>
      </c>
      <c r="G94" s="4184"/>
      <c r="H94" s="4500"/>
      <c r="I94" s="4183"/>
      <c r="J94" s="4183"/>
      <c r="K94" s="4183"/>
      <c r="L94" s="4187"/>
      <c r="M94" s="4501"/>
      <c r="N94" s="4501"/>
      <c r="O94" s="4083"/>
      <c r="P94" s="4853"/>
      <c r="Q94" s="4854"/>
      <c r="R94" s="4855"/>
      <c r="S94" s="5288"/>
      <c r="T94" s="5289" t="s">
        <v>617</v>
      </c>
      <c r="U94" s="5290"/>
      <c r="V94" s="5291"/>
      <c r="W94" s="5292"/>
      <c r="X94" s="5293"/>
      <c r="Y94" s="5294"/>
      <c r="Z94" s="5295"/>
      <c r="AA94" s="5296"/>
      <c r="AB94" s="5297"/>
      <c r="AC94" s="5298"/>
      <c r="AD94" s="5299"/>
      <c r="AE94" s="5300"/>
      <c r="AF94" s="5301"/>
      <c r="AG94" s="5302"/>
      <c r="AH94" s="5303"/>
      <c r="AI94" s="5304"/>
      <c r="AJ94" s="5305"/>
      <c r="AK94" s="5306"/>
      <c r="AL94" s="5307"/>
      <c r="AM94" s="5308"/>
      <c r="AN94" s="5309"/>
      <c r="AO94" s="5310"/>
      <c r="AP94" s="5311"/>
      <c r="AQ94" s="5312"/>
      <c r="AR94" s="5313"/>
      <c r="AS94" s="5314"/>
      <c r="AT94" s="5315"/>
      <c r="AU94" s="5316"/>
      <c r="AV94" s="5317"/>
      <c r="AW94" s="5318"/>
      <c r="AX94" s="5319"/>
      <c r="AY94" s="5320"/>
      <c r="AZ94" s="5321"/>
      <c r="BA94" s="5322"/>
      <c r="BB94" s="5323"/>
      <c r="BC94" s="5324"/>
      <c r="BD94" s="5325"/>
      <c r="BE94" s="5326"/>
      <c r="BF94" s="5327"/>
      <c r="BG94" s="5328"/>
      <c r="BH94" s="5329"/>
      <c r="BI94" s="5330"/>
      <c r="BJ94" s="5331"/>
      <c r="BK94" s="5332"/>
      <c r="BL94" s="5333"/>
      <c r="BM94" s="5334"/>
      <c r="BN94" s="5335"/>
      <c r="BO94" s="5336"/>
      <c r="BP94" s="5337"/>
      <c r="BQ94" s="5338"/>
      <c r="BR94" s="5339"/>
      <c r="BS94" s="5340"/>
      <c r="BT94" s="5341"/>
      <c r="BU94" s="5342"/>
      <c r="BV94" s="5343"/>
      <c r="BW94" s="5344"/>
      <c r="BX94" s="5345"/>
      <c r="BY94" s="5346"/>
      <c r="BZ94" s="5347"/>
      <c r="CA94" s="5348"/>
      <c r="CB94" s="5349"/>
      <c r="CC94" s="5350"/>
      <c r="CD94" s="5351"/>
      <c r="CE94" s="5352"/>
      <c r="CF94" s="5353"/>
      <c r="CG94" s="5354"/>
      <c r="CH94" s="5355"/>
      <c r="CI94" s="5356"/>
      <c r="CJ94" s="5357"/>
      <c r="CK94" s="5358"/>
      <c r="CL94" s="5359"/>
      <c r="CM94" s="5360"/>
      <c r="CN94" s="5361"/>
      <c r="CO94" s="5362"/>
      <c r="CP94" s="5363"/>
      <c r="CQ94" s="5364"/>
      <c r="CR94" s="5365"/>
      <c r="CS94" s="5366"/>
      <c r="CT94" s="5367"/>
      <c r="CU94" s="5368"/>
      <c r="CV94" s="5369"/>
      <c r="CW94" s="4093"/>
      <c r="CX94" s="4196"/>
      <c r="CY94" s="4196" t="str">
        <f>IF(T94="","",T94)</f>
        <v>Добавить наименование признака дифференциации</v>
      </c>
      <c r="CZ94" s="4196"/>
      <c r="DA94" s="4196"/>
      <c r="DB94" s="3858">
        <v>0</v>
      </c>
    </row>
    <row s="5370" customFormat="1" customHeight="1" ht="14.25">
      <c r="A95" s="4939"/>
      <c r="B95" s="4939"/>
      <c r="C95" s="4939"/>
      <c r="D95" s="4939"/>
      <c r="E95" s="4184"/>
      <c r="F95" s="4500" t="s">
        <v>108</v>
      </c>
      <c r="G95" s="4939"/>
      <c r="H95" s="4939"/>
      <c r="I95" s="4939"/>
      <c r="J95" s="4939"/>
      <c r="K95" s="4939"/>
      <c r="L95" s="4940"/>
      <c r="M95" s="4941"/>
      <c r="N95" s="4941"/>
      <c r="O95" s="4093"/>
      <c r="P95" s="4942"/>
      <c r="Q95" s="4943"/>
      <c r="R95" s="4942"/>
      <c r="S95" s="4944"/>
      <c r="T95" s="4945" t="s">
        <v>302</v>
      </c>
      <c r="U95" s="4081"/>
      <c r="V95" s="4081"/>
      <c r="W95" s="4081"/>
      <c r="X95" s="4081"/>
      <c r="Y95" s="4081"/>
      <c r="Z95" s="4081"/>
      <c r="AA95" s="4081"/>
      <c r="AB95" s="4081"/>
      <c r="AC95" s="4081"/>
      <c r="AD95" s="4081"/>
      <c r="AE95" s="4081"/>
      <c r="AF95" s="4081"/>
      <c r="AG95" s="4081"/>
      <c r="AH95" s="4081"/>
      <c r="AI95" s="4081"/>
      <c r="AJ95" s="4081"/>
      <c r="AK95" s="4081"/>
      <c r="AL95" s="4081"/>
      <c r="AM95" s="4081"/>
      <c r="AN95" s="4081"/>
      <c r="AO95" s="4081"/>
      <c r="AP95" s="4081"/>
      <c r="AQ95" s="4081"/>
      <c r="AR95" s="4081"/>
      <c r="AS95" s="4081"/>
      <c r="AT95" s="4081"/>
      <c r="AU95" s="4081"/>
      <c r="AV95" s="4081"/>
      <c r="AW95" s="4081"/>
      <c r="AX95" s="4081"/>
      <c r="AY95" s="4081"/>
      <c r="AZ95" s="4081"/>
      <c r="BA95" s="4081"/>
      <c r="BB95" s="4081"/>
      <c r="BC95" s="4081"/>
      <c r="BD95" s="4081"/>
      <c r="BE95" s="4081"/>
      <c r="BF95" s="4081"/>
      <c r="BG95" s="4081"/>
      <c r="BH95" s="4081"/>
      <c r="BI95" s="4081"/>
      <c r="BJ95" s="4081"/>
      <c r="BK95" s="4081"/>
      <c r="BL95" s="4081"/>
      <c r="BM95" s="4081"/>
      <c r="BN95" s="4081"/>
      <c r="BO95" s="4081"/>
      <c r="BP95" s="4081"/>
      <c r="BQ95" s="4081"/>
      <c r="BR95" s="4081"/>
      <c r="BS95" s="4081"/>
      <c r="BT95" s="4081"/>
      <c r="BU95" s="4081"/>
      <c r="BV95" s="4081"/>
      <c r="BW95" s="4081"/>
      <c r="BX95" s="4081"/>
      <c r="BY95" s="4081"/>
      <c r="BZ95" s="4081"/>
      <c r="CA95" s="4081"/>
      <c r="CB95" s="4081"/>
      <c r="CC95" s="4081"/>
      <c r="CD95" s="4081"/>
      <c r="CE95" s="4081"/>
      <c r="CF95" s="4081"/>
      <c r="CG95" s="4081"/>
      <c r="CH95" s="4081"/>
      <c r="CI95" s="4081"/>
      <c r="CJ95" s="4081"/>
      <c r="CK95" s="4081"/>
      <c r="CL95" s="4081"/>
      <c r="CM95" s="4081"/>
      <c r="CN95" s="4081"/>
      <c r="CO95" s="4081"/>
      <c r="CP95" s="4081"/>
      <c r="CQ95" s="4081"/>
      <c r="CR95" s="4081"/>
      <c r="CS95" s="4081"/>
      <c r="CT95" s="4081"/>
      <c r="CU95" s="4081"/>
      <c r="CV95" s="4081"/>
      <c r="CW95" s="4093"/>
      <c r="CX95" s="4196"/>
      <c r="CY95" s="4196" t="str">
        <f>IF(T95="","",T95)</f>
        <v>Добавить централизованную систему для дифференциации</v>
      </c>
      <c r="CZ95" s="4196"/>
      <c r="DA95" s="4196"/>
      <c r="DB95" s="4093">
        <v>0</v>
      </c>
    </row>
    <row s="5371" customFormat="1" customHeight="1" ht="23.25">
      <c r="A96" s="4183"/>
      <c r="B96" s="4183" t="s">
        <v>309</v>
      </c>
      <c r="C96" s="4183"/>
      <c r="D96" s="4183"/>
      <c r="E96" s="4184"/>
      <c r="F96" s="4500" t="s">
        <v>95</v>
      </c>
      <c r="G96" s="4183"/>
      <c r="H96" s="4183"/>
      <c r="I96" s="4183"/>
      <c r="J96" s="4183"/>
      <c r="K96" s="4183"/>
      <c r="L96" s="4187"/>
      <c r="M96" s="4501"/>
      <c r="N96" s="4501"/>
      <c r="O96" s="4501"/>
      <c r="P96" s="4502"/>
      <c r="Q96" s="4503"/>
      <c r="R96" s="4504"/>
      <c r="S96" s="4192" t="str">
        <f>INDEX(PT_DIFFERENTIATION_NUM_TER,MATCH(B96,PT_DIFFERENTIATION_TER_ID,0))</f>
        <v>1.4</v>
      </c>
      <c r="T96" s="4505" t="s">
        <v>529</v>
      </c>
      <c r="U96" s="4194"/>
      <c r="V96" s="3860"/>
      <c r="W96" s="3861"/>
      <c r="X96" s="3861"/>
      <c r="Y96" s="3861"/>
      <c r="Z96" s="3861"/>
      <c r="AA96" s="3861"/>
      <c r="AB96" s="3862"/>
      <c r="AC96" s="3860" t="str">
        <f>INDEX(PT_DIFFERENTIATION_TER,MATCH(B96,PT_DIFFERENTIATION_TER_ID,0))</f>
        <v>Территория 4</v>
      </c>
      <c r="AD96" s="3861"/>
      <c r="AE96" s="3861"/>
      <c r="AF96" s="3861"/>
      <c r="AG96" s="3861"/>
      <c r="AH96" s="3861"/>
      <c r="AI96" s="3861"/>
      <c r="AJ96" s="3860"/>
      <c r="AK96" s="3861"/>
      <c r="AL96" s="3861"/>
      <c r="AM96" s="3861"/>
      <c r="AN96" s="3861"/>
      <c r="AO96" s="3861"/>
      <c r="AP96" s="3862"/>
      <c r="AQ96" s="3860"/>
      <c r="AR96" s="3861"/>
      <c r="AS96" s="3861"/>
      <c r="AT96" s="3861"/>
      <c r="AU96" s="3861"/>
      <c r="AV96" s="3861"/>
      <c r="AW96" s="3862"/>
      <c r="AX96" s="3860"/>
      <c r="AY96" s="3861"/>
      <c r="AZ96" s="3861"/>
      <c r="BA96" s="3861"/>
      <c r="BB96" s="3861"/>
      <c r="BC96" s="3861"/>
      <c r="BD96" s="3862"/>
      <c r="BE96" s="3860"/>
      <c r="BF96" s="3861"/>
      <c r="BG96" s="3861"/>
      <c r="BH96" s="3861"/>
      <c r="BI96" s="3861"/>
      <c r="BJ96" s="3861"/>
      <c r="BK96" s="3862"/>
      <c r="BL96" s="3860"/>
      <c r="BM96" s="3861"/>
      <c r="BN96" s="3861"/>
      <c r="BO96" s="3861"/>
      <c r="BP96" s="3861"/>
      <c r="BQ96" s="3861"/>
      <c r="BR96" s="3862"/>
      <c r="BS96" s="3860"/>
      <c r="BT96" s="3861"/>
      <c r="BU96" s="3861"/>
      <c r="BV96" s="3861"/>
      <c r="BW96" s="3861"/>
      <c r="BX96" s="3861"/>
      <c r="BY96" s="3862"/>
      <c r="BZ96" s="3860"/>
      <c r="CA96" s="3861"/>
      <c r="CB96" s="3861"/>
      <c r="CC96" s="3861"/>
      <c r="CD96" s="3861"/>
      <c r="CE96" s="3861"/>
      <c r="CF96" s="3862"/>
      <c r="CG96" s="3860"/>
      <c r="CH96" s="3861"/>
      <c r="CI96" s="3861"/>
      <c r="CJ96" s="3861"/>
      <c r="CK96" s="3861"/>
      <c r="CL96" s="3861"/>
      <c r="CM96" s="3862"/>
      <c r="CN96" s="3860"/>
      <c r="CO96" s="3861"/>
      <c r="CP96" s="3861"/>
      <c r="CQ96" s="3861"/>
      <c r="CR96" s="3861"/>
      <c r="CS96" s="3861"/>
      <c r="CT96" s="3862"/>
      <c r="CU96" s="3862"/>
      <c r="CV96" s="4287" t="s">
        <v>530</v>
      </c>
      <c r="CW96" s="4093"/>
      <c r="CX96" s="4196"/>
      <c r="CY96" s="4196" t="str">
        <f>IF(T96="","",T96)</f>
        <v>Территория действия тарифа</v>
      </c>
      <c r="CZ96" s="4196"/>
      <c r="DA96" s="4196"/>
      <c r="DB96" s="3858">
        <v>0</v>
      </c>
    </row>
    <row s="5372" customFormat="1" customHeight="1" ht="23.25">
      <c r="A97" s="4183"/>
      <c r="B97" s="4183"/>
      <c r="C97" s="4183" t="s">
        <v>310</v>
      </c>
      <c r="D97" s="4183"/>
      <c r="E97" s="4184"/>
      <c r="F97" s="4184" t="s">
        <v>94</v>
      </c>
      <c r="G97" s="4500">
        <v>1</v>
      </c>
      <c r="H97" s="4183"/>
      <c r="I97" s="4183"/>
      <c r="J97" s="4183"/>
      <c r="K97" s="4183"/>
      <c r="L97" s="4187"/>
      <c r="M97" s="4501"/>
      <c r="N97" s="4501"/>
      <c r="O97" s="4501"/>
      <c r="P97" s="4507"/>
      <c r="Q97" s="4503"/>
      <c r="R97" s="4504"/>
      <c r="S97" s="4192" t="str">
        <f>INDEX(PT_DIFFERENTIATION_NUM_CS,MATCH(C97,PT_DIFFERENTIATION_CS_ID,0))</f>
        <v>1.4.1</v>
      </c>
      <c r="T97" s="4508" t="s">
        <v>610</v>
      </c>
      <c r="U97" s="4194"/>
      <c r="V97" s="3860"/>
      <c r="W97" s="3861"/>
      <c r="X97" s="3861"/>
      <c r="Y97" s="3861"/>
      <c r="Z97" s="3861"/>
      <c r="AA97" s="3861"/>
      <c r="AB97" s="3862"/>
      <c r="AC97" s="3860" t="str">
        <f>INDEX(PT_DIFFERENTIATION_CS,MATCH(C97,PT_DIFFERENTIATION_CS_ID,0))</f>
        <v>без дифференциации</v>
      </c>
      <c r="AD97" s="3861"/>
      <c r="AE97" s="3861"/>
      <c r="AF97" s="3861"/>
      <c r="AG97" s="3861"/>
      <c r="AH97" s="3861"/>
      <c r="AI97" s="3861"/>
      <c r="AJ97" s="3860"/>
      <c r="AK97" s="3861"/>
      <c r="AL97" s="3861"/>
      <c r="AM97" s="3861"/>
      <c r="AN97" s="3861"/>
      <c r="AO97" s="3861"/>
      <c r="AP97" s="3862"/>
      <c r="AQ97" s="3860"/>
      <c r="AR97" s="3861"/>
      <c r="AS97" s="3861"/>
      <c r="AT97" s="3861"/>
      <c r="AU97" s="3861"/>
      <c r="AV97" s="3861"/>
      <c r="AW97" s="3862"/>
      <c r="AX97" s="3860"/>
      <c r="AY97" s="3861"/>
      <c r="AZ97" s="3861"/>
      <c r="BA97" s="3861"/>
      <c r="BB97" s="3861"/>
      <c r="BC97" s="3861"/>
      <c r="BD97" s="3862"/>
      <c r="BE97" s="3860"/>
      <c r="BF97" s="3861"/>
      <c r="BG97" s="3861"/>
      <c r="BH97" s="3861"/>
      <c r="BI97" s="3861"/>
      <c r="BJ97" s="3861"/>
      <c r="BK97" s="3862"/>
      <c r="BL97" s="3860"/>
      <c r="BM97" s="3861"/>
      <c r="BN97" s="3861"/>
      <c r="BO97" s="3861"/>
      <c r="BP97" s="3861"/>
      <c r="BQ97" s="3861"/>
      <c r="BR97" s="3862"/>
      <c r="BS97" s="3860"/>
      <c r="BT97" s="3861"/>
      <c r="BU97" s="3861"/>
      <c r="BV97" s="3861"/>
      <c r="BW97" s="3861"/>
      <c r="BX97" s="3861"/>
      <c r="BY97" s="3862"/>
      <c r="BZ97" s="3860"/>
      <c r="CA97" s="3861"/>
      <c r="CB97" s="3861"/>
      <c r="CC97" s="3861"/>
      <c r="CD97" s="3861"/>
      <c r="CE97" s="3861"/>
      <c r="CF97" s="3862"/>
      <c r="CG97" s="3860"/>
      <c r="CH97" s="3861"/>
      <c r="CI97" s="3861"/>
      <c r="CJ97" s="3861"/>
      <c r="CK97" s="3861"/>
      <c r="CL97" s="3861"/>
      <c r="CM97" s="3862"/>
      <c r="CN97" s="3860"/>
      <c r="CO97" s="3861"/>
      <c r="CP97" s="3861"/>
      <c r="CQ97" s="3861"/>
      <c r="CR97" s="3861"/>
      <c r="CS97" s="3861"/>
      <c r="CT97" s="3862"/>
      <c r="CU97" s="3862"/>
      <c r="CV97" s="4287" t="s">
        <v>611</v>
      </c>
      <c r="CW97" s="4093"/>
      <c r="CX97" s="4196"/>
      <c r="CY97" s="4196" t="str">
        <f>IF(T97="","",T97)</f>
        <v>Наименование централизованной системы холодного водоснабжения</v>
      </c>
      <c r="CZ97" s="4196"/>
      <c r="DA97" s="4196"/>
      <c r="DB97" s="3858">
        <v>0</v>
      </c>
    </row>
    <row s="5373" customFormat="1" customHeight="1" ht="23.25">
      <c r="A98" s="4183"/>
      <c r="B98" s="4183"/>
      <c r="C98" s="4183"/>
      <c r="D98" s="4183"/>
      <c r="E98" s="4184"/>
      <c r="F98" s="4184" t="s">
        <v>94</v>
      </c>
      <c r="G98" s="4184"/>
      <c r="H98" s="4184"/>
      <c r="I98" s="4186" t="str">
        <f>S97&amp;".1"</f>
        <v>1.4.1.1</v>
      </c>
      <c r="J98" s="4183"/>
      <c r="K98" s="4183"/>
      <c r="L98" s="4187"/>
      <c r="M98" s="4188"/>
      <c r="N98" s="4188"/>
      <c r="O98" s="4188"/>
      <c r="P98" s="4189">
        <v>1</v>
      </c>
      <c r="Q98" s="4189"/>
      <c r="R98" s="4205"/>
      <c r="S98" s="4192" t="str">
        <f>$I98</f>
        <v>1.4.1.1</v>
      </c>
      <c r="T98" s="4510" t="s">
        <v>612</v>
      </c>
      <c r="U98" s="4194"/>
      <c r="V98" s="3870"/>
      <c r="W98" s="3871"/>
      <c r="X98" s="3871"/>
      <c r="Y98" s="3871"/>
      <c r="Z98" s="3871"/>
      <c r="AA98" s="3871"/>
      <c r="AB98" s="3872"/>
      <c r="AC98" s="4511"/>
      <c r="AD98" s="4512"/>
      <c r="AE98" s="4512"/>
      <c r="AF98" s="4512"/>
      <c r="AG98" s="4512"/>
      <c r="AH98" s="4512"/>
      <c r="AI98" s="4512"/>
      <c r="AJ98" s="3870"/>
      <c r="AK98" s="3871"/>
      <c r="AL98" s="3871"/>
      <c r="AM98" s="3871"/>
      <c r="AN98" s="3871"/>
      <c r="AO98" s="3871"/>
      <c r="AP98" s="3872"/>
      <c r="AQ98" s="3870"/>
      <c r="AR98" s="3871"/>
      <c r="AS98" s="3871"/>
      <c r="AT98" s="3871"/>
      <c r="AU98" s="3871"/>
      <c r="AV98" s="3871"/>
      <c r="AW98" s="3872"/>
      <c r="AX98" s="3870"/>
      <c r="AY98" s="3871"/>
      <c r="AZ98" s="3871"/>
      <c r="BA98" s="3871"/>
      <c r="BB98" s="3871"/>
      <c r="BC98" s="3871"/>
      <c r="BD98" s="3872"/>
      <c r="BE98" s="3870"/>
      <c r="BF98" s="3871"/>
      <c r="BG98" s="3871"/>
      <c r="BH98" s="3871"/>
      <c r="BI98" s="3871"/>
      <c r="BJ98" s="3871"/>
      <c r="BK98" s="3872"/>
      <c r="BL98" s="3870"/>
      <c r="BM98" s="3871"/>
      <c r="BN98" s="3871"/>
      <c r="BO98" s="3871"/>
      <c r="BP98" s="3871"/>
      <c r="BQ98" s="3871"/>
      <c r="BR98" s="3872"/>
      <c r="BS98" s="3870"/>
      <c r="BT98" s="3871"/>
      <c r="BU98" s="3871"/>
      <c r="BV98" s="3871"/>
      <c r="BW98" s="3871"/>
      <c r="BX98" s="3871"/>
      <c r="BY98" s="3872"/>
      <c r="BZ98" s="3870"/>
      <c r="CA98" s="3871"/>
      <c r="CB98" s="3871"/>
      <c r="CC98" s="3871"/>
      <c r="CD98" s="3871"/>
      <c r="CE98" s="3871"/>
      <c r="CF98" s="3872"/>
      <c r="CG98" s="3870"/>
      <c r="CH98" s="3871"/>
      <c r="CI98" s="3871"/>
      <c r="CJ98" s="3871"/>
      <c r="CK98" s="3871"/>
      <c r="CL98" s="3871"/>
      <c r="CM98" s="3872"/>
      <c r="CN98" s="3870"/>
      <c r="CO98" s="3871"/>
      <c r="CP98" s="3871"/>
      <c r="CQ98" s="3871"/>
      <c r="CR98" s="3871"/>
      <c r="CS98" s="3871"/>
      <c r="CT98" s="3872"/>
      <c r="CU98" s="4513"/>
      <c r="CV98" s="4287" t="s">
        <v>613</v>
      </c>
      <c r="CW98" s="4093"/>
      <c r="CX98" s="4196"/>
      <c r="CY98" s="4196" t="str">
        <f>IF(T98="","",T98)</f>
        <v>Наименование признака дифференциации</v>
      </c>
      <c r="CZ98" s="4196"/>
      <c r="DA98" s="4196"/>
      <c r="DB98" s="3858">
        <v>0</v>
      </c>
    </row>
    <row s="5374" customFormat="1" customHeight="1" ht="23.25">
      <c r="A99" s="4183"/>
      <c r="B99" s="4183"/>
      <c r="C99" s="4183"/>
      <c r="D99" s="4183"/>
      <c r="E99" s="4184"/>
      <c r="F99" s="4184" t="s">
        <v>94</v>
      </c>
      <c r="G99" s="4184"/>
      <c r="H99" s="4184"/>
      <c r="I99" s="4185"/>
      <c r="J99" s="4186" t="str">
        <f>I98&amp;".1"</f>
        <v>1.4.1.1.1</v>
      </c>
      <c r="K99" s="4183"/>
      <c r="L99" s="4187" t="s">
        <v>538</v>
      </c>
      <c r="M99" s="4188"/>
      <c r="N99" s="4188"/>
      <c r="O99" s="4188"/>
      <c r="P99" s="4189"/>
      <c r="Q99" s="4189">
        <v>1</v>
      </c>
      <c r="R99" s="4191"/>
      <c r="S99" s="4192" t="str">
        <f>$J99</f>
        <v>1.4.1.1.1</v>
      </c>
      <c r="T99" s="4193" t="s">
        <v>539</v>
      </c>
      <c r="U99" s="4194"/>
      <c r="V99" s="3874"/>
      <c r="W99" s="3875"/>
      <c r="X99" s="3875"/>
      <c r="Y99" s="3875"/>
      <c r="Z99" s="3875"/>
      <c r="AA99" s="3875"/>
      <c r="AB99" s="3876"/>
      <c r="AC99" s="3874" t="s">
        <v>625</v>
      </c>
      <c r="AD99" s="3875"/>
      <c r="AE99" s="3875"/>
      <c r="AF99" s="3875"/>
      <c r="AG99" s="3875"/>
      <c r="AH99" s="3875"/>
      <c r="AI99" s="3875"/>
      <c r="AJ99" s="3874"/>
      <c r="AK99" s="3875"/>
      <c r="AL99" s="3875"/>
      <c r="AM99" s="3875"/>
      <c r="AN99" s="3875"/>
      <c r="AO99" s="3875"/>
      <c r="AP99" s="3876"/>
      <c r="AQ99" s="3874"/>
      <c r="AR99" s="3875"/>
      <c r="AS99" s="3875"/>
      <c r="AT99" s="3875"/>
      <c r="AU99" s="3875"/>
      <c r="AV99" s="3875"/>
      <c r="AW99" s="3876"/>
      <c r="AX99" s="3874"/>
      <c r="AY99" s="3875"/>
      <c r="AZ99" s="3875"/>
      <c r="BA99" s="3875"/>
      <c r="BB99" s="3875"/>
      <c r="BC99" s="3875"/>
      <c r="BD99" s="3876"/>
      <c r="BE99" s="3874"/>
      <c r="BF99" s="3875"/>
      <c r="BG99" s="3875"/>
      <c r="BH99" s="3875"/>
      <c r="BI99" s="3875"/>
      <c r="BJ99" s="3875"/>
      <c r="BK99" s="3876"/>
      <c r="BL99" s="3874"/>
      <c r="BM99" s="3875"/>
      <c r="BN99" s="3875"/>
      <c r="BO99" s="3875"/>
      <c r="BP99" s="3875"/>
      <c r="BQ99" s="3875"/>
      <c r="BR99" s="3876"/>
      <c r="BS99" s="3874"/>
      <c r="BT99" s="3875"/>
      <c r="BU99" s="3875"/>
      <c r="BV99" s="3875"/>
      <c r="BW99" s="3875"/>
      <c r="BX99" s="3875"/>
      <c r="BY99" s="3876"/>
      <c r="BZ99" s="3874"/>
      <c r="CA99" s="3875"/>
      <c r="CB99" s="3875"/>
      <c r="CC99" s="3875"/>
      <c r="CD99" s="3875"/>
      <c r="CE99" s="3875"/>
      <c r="CF99" s="3876"/>
      <c r="CG99" s="3874"/>
      <c r="CH99" s="3875"/>
      <c r="CI99" s="3875"/>
      <c r="CJ99" s="3875"/>
      <c r="CK99" s="3875"/>
      <c r="CL99" s="3875"/>
      <c r="CM99" s="3876"/>
      <c r="CN99" s="3874"/>
      <c r="CO99" s="3875"/>
      <c r="CP99" s="3875"/>
      <c r="CQ99" s="3875"/>
      <c r="CR99" s="3875"/>
      <c r="CS99" s="3875"/>
      <c r="CT99" s="3876"/>
      <c r="CU99" s="3876"/>
      <c r="CV99" s="4195" t="s">
        <v>614</v>
      </c>
      <c r="CW99" s="4093"/>
      <c r="CX99" s="4196"/>
      <c r="CY99" s="4196" t="str">
        <f>IF(T99="","",T99)</f>
        <v>Группа потребителей</v>
      </c>
      <c r="CZ99" s="4196"/>
      <c r="DA99" s="4196"/>
      <c r="DB99" s="3858">
        <v>0</v>
      </c>
    </row>
    <row s="5375" customFormat="1" customHeight="1" ht="23.25">
      <c r="A100" s="4183"/>
      <c r="B100" s="4183"/>
      <c r="C100" s="4183"/>
      <c r="D100" s="4183"/>
      <c r="E100" s="4184"/>
      <c r="F100" s="4184" t="s">
        <v>94</v>
      </c>
      <c r="G100" s="4184"/>
      <c r="H100" s="4184"/>
      <c r="I100" s="4185"/>
      <c r="J100" s="4185"/>
      <c r="K100" s="4186" t="str">
        <f>J99&amp;".1"</f>
        <v>1.4.1.1.1.1</v>
      </c>
      <c r="L100" s="4187"/>
      <c r="M100" s="4188"/>
      <c r="N100" s="4188"/>
      <c r="O100" s="4188"/>
      <c r="P100" s="4189"/>
      <c r="Q100" s="4189"/>
      <c r="R100" s="4191">
        <v>1</v>
      </c>
      <c r="S100" s="4192" t="str">
        <f>$K100</f>
        <v>1.4.1.1.1.1</v>
      </c>
      <c r="T100" s="4198"/>
      <c r="U100" s="4194"/>
      <c r="V100" s="3878"/>
      <c r="W100" s="3878"/>
      <c r="X100" s="3879"/>
      <c r="Y100" s="3880"/>
      <c r="Z100" s="3881" t="s">
        <v>65</v>
      </c>
      <c r="AA100" s="3880"/>
      <c r="AB100" s="3881" t="s">
        <v>65</v>
      </c>
      <c r="AC100" s="3878">
        <v>49.68</v>
      </c>
      <c r="AD100" s="3878"/>
      <c r="AE100" s="3879"/>
      <c r="AF100" s="3880">
        <v>45292</v>
      </c>
      <c r="AG100" s="3881" t="s">
        <v>65</v>
      </c>
      <c r="AH100" s="4116">
        <v>45473</v>
      </c>
      <c r="AI100" s="3881" t="s">
        <v>65</v>
      </c>
      <c r="AJ100" s="3878">
        <v>54.69</v>
      </c>
      <c r="AK100" s="3878"/>
      <c r="AL100" s="3879"/>
      <c r="AM100" s="3880">
        <v>45474</v>
      </c>
      <c r="AN100" s="3881" t="s">
        <v>65</v>
      </c>
      <c r="AO100" s="3880">
        <v>45657</v>
      </c>
      <c r="AP100" s="3881" t="s">
        <v>65</v>
      </c>
      <c r="AQ100" s="3878">
        <v>54.69</v>
      </c>
      <c r="AR100" s="3878"/>
      <c r="AS100" s="3879"/>
      <c r="AT100" s="3880">
        <v>45658</v>
      </c>
      <c r="AU100" s="3881" t="s">
        <v>65</v>
      </c>
      <c r="AV100" s="3880">
        <v>45838</v>
      </c>
      <c r="AW100" s="3881" t="s">
        <v>65</v>
      </c>
      <c r="AX100" s="3878">
        <v>60.3</v>
      </c>
      <c r="AY100" s="3878"/>
      <c r="AZ100" s="3879"/>
      <c r="BA100" s="3880">
        <v>45839</v>
      </c>
      <c r="BB100" s="3881" t="s">
        <v>65</v>
      </c>
      <c r="BC100" s="3880">
        <v>46022</v>
      </c>
      <c r="BD100" s="3881" t="s">
        <v>65</v>
      </c>
      <c r="BE100" s="3878">
        <v>57.81</v>
      </c>
      <c r="BF100" s="3878"/>
      <c r="BG100" s="3879"/>
      <c r="BH100" s="3880">
        <v>46023</v>
      </c>
      <c r="BI100" s="3881" t="s">
        <v>65</v>
      </c>
      <c r="BJ100" s="3880">
        <v>46203</v>
      </c>
      <c r="BK100" s="3881" t="s">
        <v>65</v>
      </c>
      <c r="BL100" s="3878">
        <v>60.12</v>
      </c>
      <c r="BM100" s="3878"/>
      <c r="BN100" s="3879"/>
      <c r="BO100" s="3880">
        <v>46204</v>
      </c>
      <c r="BP100" s="3881" t="s">
        <v>65</v>
      </c>
      <c r="BQ100" s="3880">
        <v>46387</v>
      </c>
      <c r="BR100" s="3881" t="s">
        <v>65</v>
      </c>
      <c r="BS100" s="3878">
        <v>60.12</v>
      </c>
      <c r="BT100" s="3878"/>
      <c r="BU100" s="3879"/>
      <c r="BV100" s="3880">
        <v>46388</v>
      </c>
      <c r="BW100" s="3881" t="s">
        <v>65</v>
      </c>
      <c r="BX100" s="3880">
        <v>46568</v>
      </c>
      <c r="BY100" s="3881" t="s">
        <v>65</v>
      </c>
      <c r="BZ100" s="3878">
        <v>62.52</v>
      </c>
      <c r="CA100" s="3878"/>
      <c r="CB100" s="3879"/>
      <c r="CC100" s="3880">
        <v>46569</v>
      </c>
      <c r="CD100" s="3881" t="s">
        <v>65</v>
      </c>
      <c r="CE100" s="3880">
        <v>46752</v>
      </c>
      <c r="CF100" s="3881" t="s">
        <v>65</v>
      </c>
      <c r="CG100" s="3878">
        <v>62.52</v>
      </c>
      <c r="CH100" s="3878"/>
      <c r="CI100" s="3879"/>
      <c r="CJ100" s="3880">
        <v>46753</v>
      </c>
      <c r="CK100" s="3881" t="s">
        <v>65</v>
      </c>
      <c r="CL100" s="3880">
        <v>46934</v>
      </c>
      <c r="CM100" s="3881" t="s">
        <v>65</v>
      </c>
      <c r="CN100" s="3878">
        <v>65.02</v>
      </c>
      <c r="CO100" s="3878"/>
      <c r="CP100" s="3879"/>
      <c r="CQ100" s="3880">
        <v>46935</v>
      </c>
      <c r="CR100" s="3881" t="s">
        <v>65</v>
      </c>
      <c r="CS100" s="3880">
        <v>47118</v>
      </c>
      <c r="CT100" s="3881" t="s">
        <v>65</v>
      </c>
      <c r="CU100" s="4199"/>
      <c r="CV10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0" s="4093">
        <f>STRCHECKDATE(V101:CU101)</f>
      </c>
      <c r="CX100" s="4196"/>
      <c r="CY100" s="4196" t="str">
        <f>IF(T100="","",T100)</f>
        <v/>
      </c>
      <c r="CZ100" s="4196"/>
      <c r="DA100" s="4196"/>
      <c r="DB100" s="3858">
        <v>0</v>
      </c>
    </row>
    <row s="5376" customFormat="1" customHeight="1" ht="14.25">
      <c r="A101" s="4183"/>
      <c r="B101" s="4183"/>
      <c r="C101" s="4183"/>
      <c r="D101" s="4183"/>
      <c r="E101" s="4184"/>
      <c r="F101" s="4184" t="s">
        <v>94</v>
      </c>
      <c r="G101" s="4184"/>
      <c r="H101" s="4184"/>
      <c r="I101" s="4185"/>
      <c r="J101" s="4185"/>
      <c r="K101" s="4186"/>
      <c r="L101" s="4187"/>
      <c r="M101" s="4188"/>
      <c r="N101" s="4188"/>
      <c r="O101" s="4188"/>
      <c r="P101" s="4189"/>
      <c r="Q101" s="4189"/>
      <c r="R101" s="4191"/>
      <c r="S101" s="4202"/>
      <c r="T101" s="4194"/>
      <c r="U101" s="4194"/>
      <c r="V101" s="3885"/>
      <c r="W101" s="3885"/>
      <c r="X101" s="3886" t="str">
        <f>Y100&amp;"-"&amp;AA100</f>
        <v>-</v>
      </c>
      <c r="Y101" s="3887"/>
      <c r="Z101" s="3881"/>
      <c r="AA101" s="3887"/>
      <c r="AB101" s="3881"/>
      <c r="AC101" s="3885"/>
      <c r="AD101" s="3885"/>
      <c r="AE101" s="3886" t="str">
        <f>AF100&amp;"-"&amp;AH100</f>
        <v>45292-45473</v>
      </c>
      <c r="AF101" s="3887"/>
      <c r="AG101" s="3881"/>
      <c r="AH101" s="4118"/>
      <c r="AI101" s="3881"/>
      <c r="AJ101" s="3885"/>
      <c r="AK101" s="3885"/>
      <c r="AL101" s="3886" t="str">
        <f>AM100&amp;"-"&amp;AO100</f>
        <v>45474-45657</v>
      </c>
      <c r="AM101" s="3887"/>
      <c r="AN101" s="3881"/>
      <c r="AO101" s="3887"/>
      <c r="AP101" s="3881"/>
      <c r="AQ101" s="3885"/>
      <c r="AR101" s="3885"/>
      <c r="AS101" s="3886" t="str">
        <f>AT100&amp;"-"&amp;AV100</f>
        <v>45658-45838</v>
      </c>
      <c r="AT101" s="3887"/>
      <c r="AU101" s="3881"/>
      <c r="AV101" s="3887"/>
      <c r="AW101" s="3881"/>
      <c r="AX101" s="3885"/>
      <c r="AY101" s="3885"/>
      <c r="AZ101" s="3886" t="str">
        <f>BA100&amp;"-"&amp;BC100</f>
        <v>45839-46022</v>
      </c>
      <c r="BA101" s="3887"/>
      <c r="BB101" s="3881"/>
      <c r="BC101" s="3887"/>
      <c r="BD101" s="3881"/>
      <c r="BE101" s="3885"/>
      <c r="BF101" s="3885"/>
      <c r="BG101" s="3886" t="str">
        <f>BH100&amp;"-"&amp;BJ100</f>
        <v>46023-46203</v>
      </c>
      <c r="BH101" s="3887"/>
      <c r="BI101" s="3881"/>
      <c r="BJ101" s="3887"/>
      <c r="BK101" s="3881"/>
      <c r="BL101" s="3885"/>
      <c r="BM101" s="3885"/>
      <c r="BN101" s="3886" t="str">
        <f>BO100&amp;"-"&amp;BQ100</f>
        <v>46204-46387</v>
      </c>
      <c r="BO101" s="3887"/>
      <c r="BP101" s="3881"/>
      <c r="BQ101" s="3887"/>
      <c r="BR101" s="3881"/>
      <c r="BS101" s="3885"/>
      <c r="BT101" s="3885"/>
      <c r="BU101" s="3886" t="str">
        <f>BV100&amp;"-"&amp;BX100</f>
        <v>46388-46568</v>
      </c>
      <c r="BV101" s="3887"/>
      <c r="BW101" s="3881"/>
      <c r="BX101" s="3887"/>
      <c r="BY101" s="3881"/>
      <c r="BZ101" s="3885"/>
      <c r="CA101" s="3885"/>
      <c r="CB101" s="3886" t="str">
        <f>CC100&amp;"-"&amp;CE100</f>
        <v>46569-46752</v>
      </c>
      <c r="CC101" s="3887"/>
      <c r="CD101" s="3881"/>
      <c r="CE101" s="3887"/>
      <c r="CF101" s="3881"/>
      <c r="CG101" s="3885"/>
      <c r="CH101" s="3885"/>
      <c r="CI101" s="3886" t="str">
        <f>CJ100&amp;"-"&amp;CL100</f>
        <v>46753-46934</v>
      </c>
      <c r="CJ101" s="3887"/>
      <c r="CK101" s="3881"/>
      <c r="CL101" s="3887"/>
      <c r="CM101" s="3881"/>
      <c r="CN101" s="3885"/>
      <c r="CO101" s="3885"/>
      <c r="CP101" s="3886" t="str">
        <f>CQ100&amp;"-"&amp;CS100</f>
        <v>46935-47118</v>
      </c>
      <c r="CQ101" s="3887"/>
      <c r="CR101" s="3881"/>
      <c r="CS101" s="3887"/>
      <c r="CT101" s="3881"/>
      <c r="CU101" s="4203"/>
      <c r="CV101" s="4200"/>
      <c r="CW101" s="4093"/>
      <c r="CX101" s="4196"/>
      <c r="CY101" s="4196" t="str">
        <f>IF(T101="","",T101)</f>
        <v/>
      </c>
      <c r="CZ101" s="4196"/>
      <c r="DA101" s="4196"/>
      <c r="DB101" s="3858">
        <v>0</v>
      </c>
    </row>
    <row s="5377" customFormat="1" customHeight="1" ht="21">
      <c r="A102" s="4183"/>
      <c r="B102" s="4183"/>
      <c r="C102" s="4183"/>
      <c r="D102" s="4183"/>
      <c r="E102" s="4184"/>
      <c r="F102" s="4184" t="s">
        <v>94</v>
      </c>
      <c r="G102" s="4184"/>
      <c r="H102" s="4184"/>
      <c r="I102" s="4185"/>
      <c r="J102" s="4186"/>
      <c r="K102" s="4183"/>
      <c r="L102" s="4187"/>
      <c r="M102" s="4188"/>
      <c r="N102" s="4188"/>
      <c r="O102" s="4188"/>
      <c r="P102" s="4189"/>
      <c r="Q102" s="4189"/>
      <c r="R102" s="4205"/>
      <c r="S102" s="5378"/>
      <c r="T102" s="5379" t="s">
        <v>615</v>
      </c>
      <c r="U102" s="5380"/>
      <c r="V102" s="5381"/>
      <c r="W102" s="5382"/>
      <c r="X102" s="5383"/>
      <c r="Y102" s="5384"/>
      <c r="Z102" s="5385"/>
      <c r="AA102" s="5386"/>
      <c r="AB102" s="5387"/>
      <c r="AC102" s="5388"/>
      <c r="AD102" s="5389"/>
      <c r="AE102" s="5390"/>
      <c r="AF102" s="5391"/>
      <c r="AG102" s="5392"/>
      <c r="AH102" s="5393"/>
      <c r="AI102" s="5394"/>
      <c r="AJ102" s="5395"/>
      <c r="AK102" s="5396"/>
      <c r="AL102" s="5397"/>
      <c r="AM102" s="5398"/>
      <c r="AN102" s="5399"/>
      <c r="AO102" s="5400"/>
      <c r="AP102" s="5401"/>
      <c r="AQ102" s="5402"/>
      <c r="AR102" s="5403"/>
      <c r="AS102" s="5404"/>
      <c r="AT102" s="5405"/>
      <c r="AU102" s="5406"/>
      <c r="AV102" s="5407"/>
      <c r="AW102" s="5408"/>
      <c r="AX102" s="5409"/>
      <c r="AY102" s="5410"/>
      <c r="AZ102" s="5411"/>
      <c r="BA102" s="5412"/>
      <c r="BB102" s="5413"/>
      <c r="BC102" s="5414"/>
      <c r="BD102" s="5415"/>
      <c r="BE102" s="5416"/>
      <c r="BF102" s="5417"/>
      <c r="BG102" s="5418"/>
      <c r="BH102" s="5419"/>
      <c r="BI102" s="5420"/>
      <c r="BJ102" s="5421"/>
      <c r="BK102" s="5422"/>
      <c r="BL102" s="5423"/>
      <c r="BM102" s="5424"/>
      <c r="BN102" s="5425"/>
      <c r="BO102" s="5426"/>
      <c r="BP102" s="5427"/>
      <c r="BQ102" s="5428"/>
      <c r="BR102" s="5429"/>
      <c r="BS102" s="5430"/>
      <c r="BT102" s="5431"/>
      <c r="BU102" s="5432"/>
      <c r="BV102" s="5433"/>
      <c r="BW102" s="5434"/>
      <c r="BX102" s="5435"/>
      <c r="BY102" s="5436"/>
      <c r="BZ102" s="5437"/>
      <c r="CA102" s="5438"/>
      <c r="CB102" s="5439"/>
      <c r="CC102" s="5440"/>
      <c r="CD102" s="5441"/>
      <c r="CE102" s="5442"/>
      <c r="CF102" s="5443"/>
      <c r="CG102" s="5444"/>
      <c r="CH102" s="5445"/>
      <c r="CI102" s="5446"/>
      <c r="CJ102" s="5447"/>
      <c r="CK102" s="5448"/>
      <c r="CL102" s="5449"/>
      <c r="CM102" s="5450"/>
      <c r="CN102" s="5451"/>
      <c r="CO102" s="5452"/>
      <c r="CP102" s="5453"/>
      <c r="CQ102" s="5454"/>
      <c r="CR102" s="5455"/>
      <c r="CS102" s="5456"/>
      <c r="CT102" s="5457"/>
      <c r="CU102" s="5458"/>
      <c r="CV102" s="4287" t="s">
        <v>616</v>
      </c>
      <c r="CW102" s="4093"/>
      <c r="CX102" s="4196"/>
      <c r="CY102" s="4196" t="str">
        <f>IF(T102="","",T102)</f>
        <v>Добавить значение признака дифференциации</v>
      </c>
      <c r="CZ102" s="4196"/>
      <c r="DA102" s="4196"/>
      <c r="DB102" s="3858">
        <v>0</v>
      </c>
    </row>
    <row s="5459" customFormat="1" customHeight="1" ht="23.25">
      <c r="A103" s="4183"/>
      <c r="B103" s="4183"/>
      <c r="C103" s="4183"/>
      <c r="D103" s="4183"/>
      <c r="E103" s="4184"/>
      <c r="F103" s="4184"/>
      <c r="G103" s="4184"/>
      <c r="H103" s="4184"/>
      <c r="I103" s="4185"/>
      <c r="J103" s="4186" t="str">
        <f>I98&amp;".2"</f>
        <v>1.4.1.1.2</v>
      </c>
      <c r="K103" s="4183"/>
      <c r="L103" s="4187" t="s">
        <v>538</v>
      </c>
      <c r="M103" s="4188"/>
      <c r="N103" s="4188"/>
      <c r="O103" s="4188"/>
      <c r="P103" s="4189"/>
      <c r="Q103" s="4190" t="s">
        <v>109</v>
      </c>
      <c r="R103" s="4191"/>
      <c r="S103" s="4192" t="str">
        <f>$J103</f>
        <v>1.4.1.1.2</v>
      </c>
      <c r="T103" s="4193" t="s">
        <v>539</v>
      </c>
      <c r="U103" s="4194"/>
      <c r="V103" s="3874"/>
      <c r="W103" s="3875"/>
      <c r="X103" s="3875"/>
      <c r="Y103" s="3875"/>
      <c r="Z103" s="3875"/>
      <c r="AA103" s="3875"/>
      <c r="AB103" s="3876"/>
      <c r="AC103" s="3874" t="s">
        <v>626</v>
      </c>
      <c r="AD103" s="3875"/>
      <c r="AE103" s="3875"/>
      <c r="AF103" s="3875"/>
      <c r="AG103" s="3875"/>
      <c r="AH103" s="3875"/>
      <c r="AI103" s="3875"/>
      <c r="AJ103" s="3874"/>
      <c r="AK103" s="3875"/>
      <c r="AL103" s="3875"/>
      <c r="AM103" s="3875"/>
      <c r="AN103" s="3875"/>
      <c r="AO103" s="3875"/>
      <c r="AP103" s="3876"/>
      <c r="AQ103" s="3874"/>
      <c r="AR103" s="3875"/>
      <c r="AS103" s="3875"/>
      <c r="AT103" s="3875"/>
      <c r="AU103" s="3875"/>
      <c r="AV103" s="3875"/>
      <c r="AW103" s="3876"/>
      <c r="AX103" s="3874"/>
      <c r="AY103" s="3875"/>
      <c r="AZ103" s="3875"/>
      <c r="BA103" s="3875"/>
      <c r="BB103" s="3875"/>
      <c r="BC103" s="3875"/>
      <c r="BD103" s="3876"/>
      <c r="BE103" s="3874"/>
      <c r="BF103" s="3875"/>
      <c r="BG103" s="3875"/>
      <c r="BH103" s="3875"/>
      <c r="BI103" s="3875"/>
      <c r="BJ103" s="3875"/>
      <c r="BK103" s="3876"/>
      <c r="BL103" s="3874"/>
      <c r="BM103" s="3875"/>
      <c r="BN103" s="3875"/>
      <c r="BO103" s="3875"/>
      <c r="BP103" s="3875"/>
      <c r="BQ103" s="3875"/>
      <c r="BR103" s="3876"/>
      <c r="BS103" s="3874"/>
      <c r="BT103" s="3875"/>
      <c r="BU103" s="3875"/>
      <c r="BV103" s="3875"/>
      <c r="BW103" s="3875"/>
      <c r="BX103" s="3875"/>
      <c r="BY103" s="3876"/>
      <c r="BZ103" s="3874"/>
      <c r="CA103" s="3875"/>
      <c r="CB103" s="3875"/>
      <c r="CC103" s="3875"/>
      <c r="CD103" s="3875"/>
      <c r="CE103" s="3875"/>
      <c r="CF103" s="3876"/>
      <c r="CG103" s="3874"/>
      <c r="CH103" s="3875"/>
      <c r="CI103" s="3875"/>
      <c r="CJ103" s="3875"/>
      <c r="CK103" s="3875"/>
      <c r="CL103" s="3875"/>
      <c r="CM103" s="3876"/>
      <c r="CN103" s="3874"/>
      <c r="CO103" s="3875"/>
      <c r="CP103" s="3875"/>
      <c r="CQ103" s="3875"/>
      <c r="CR103" s="3875"/>
      <c r="CS103" s="3875"/>
      <c r="CT103" s="3876"/>
      <c r="CU103" s="3876"/>
      <c r="CV103" s="4195" t="s">
        <v>614</v>
      </c>
      <c r="CW103" s="4093"/>
      <c r="CX103" s="4196"/>
      <c r="CY103" s="4196" t="str">
        <f>IF(T103="","",T103)</f>
        <v>Группа потребителей</v>
      </c>
      <c r="CZ103" s="4196"/>
      <c r="DA103" s="4196"/>
      <c r="DB103" s="3858">
        <v>0</v>
      </c>
    </row>
    <row s="5460" customFormat="1" customHeight="1" ht="23.25">
      <c r="A104" s="4183"/>
      <c r="B104" s="4183"/>
      <c r="C104" s="4183"/>
      <c r="D104" s="4183"/>
      <c r="E104" s="4184"/>
      <c r="F104" s="4184"/>
      <c r="G104" s="4184"/>
      <c r="H104" s="4184"/>
      <c r="I104" s="4185"/>
      <c r="J104" s="4185" t="str">
        <f>I98&amp;".1"</f>
        <v>1.4.1.1.1</v>
      </c>
      <c r="K104" s="4186" t="str">
        <f>J103&amp;".1"</f>
        <v>1.4.1.1.2.1</v>
      </c>
      <c r="L104" s="4187"/>
      <c r="M104" s="4188"/>
      <c r="N104" s="4188"/>
      <c r="O104" s="4188"/>
      <c r="P104" s="4189"/>
      <c r="Q104" s="4189"/>
      <c r="R104" s="4191">
        <v>1</v>
      </c>
      <c r="S104" s="4192" t="str">
        <f>$K104</f>
        <v>1.4.1.1.2.1</v>
      </c>
      <c r="T104" s="4198"/>
      <c r="U104" s="4194"/>
      <c r="V104" s="3878"/>
      <c r="W104" s="3878"/>
      <c r="X104" s="3879"/>
      <c r="Y104" s="3880"/>
      <c r="Z104" s="3881" t="s">
        <v>65</v>
      </c>
      <c r="AA104" s="3880"/>
      <c r="AB104" s="3881" t="s">
        <v>65</v>
      </c>
      <c r="AC104" s="3878">
        <v>51.99</v>
      </c>
      <c r="AD104" s="3878"/>
      <c r="AE104" s="3879"/>
      <c r="AF104" s="3880">
        <v>45292</v>
      </c>
      <c r="AG104" s="3881" t="s">
        <v>65</v>
      </c>
      <c r="AH104" s="4116">
        <v>45473</v>
      </c>
      <c r="AI104" s="3881" t="s">
        <v>65</v>
      </c>
      <c r="AJ104" s="3878">
        <v>54.69</v>
      </c>
      <c r="AK104" s="3878"/>
      <c r="AL104" s="3879"/>
      <c r="AM104" s="3880">
        <v>45474</v>
      </c>
      <c r="AN104" s="3881" t="s">
        <v>65</v>
      </c>
      <c r="AO104" s="3880">
        <v>45657</v>
      </c>
      <c r="AP104" s="3881" t="s">
        <v>65</v>
      </c>
      <c r="AQ104" s="3878">
        <v>54.69</v>
      </c>
      <c r="AR104" s="3878"/>
      <c r="AS104" s="3879"/>
      <c r="AT104" s="3880">
        <v>45658</v>
      </c>
      <c r="AU104" s="3881" t="s">
        <v>65</v>
      </c>
      <c r="AV104" s="3880">
        <v>45838</v>
      </c>
      <c r="AW104" s="3881" t="s">
        <v>65</v>
      </c>
      <c r="AX104" s="3878">
        <v>57.43</v>
      </c>
      <c r="AY104" s="3878"/>
      <c r="AZ104" s="3879"/>
      <c r="BA104" s="3880">
        <v>45839</v>
      </c>
      <c r="BB104" s="3881" t="s">
        <v>65</v>
      </c>
      <c r="BC104" s="3880">
        <v>46022</v>
      </c>
      <c r="BD104" s="3881" t="s">
        <v>65</v>
      </c>
      <c r="BE104" s="3878">
        <v>62.55</v>
      </c>
      <c r="BF104" s="3878"/>
      <c r="BG104" s="3879"/>
      <c r="BH104" s="3880">
        <v>46023</v>
      </c>
      <c r="BI104" s="3881" t="s">
        <v>65</v>
      </c>
      <c r="BJ104" s="3880">
        <v>46203</v>
      </c>
      <c r="BK104" s="3881" t="s">
        <v>65</v>
      </c>
      <c r="BL104" s="3878">
        <v>68.84</v>
      </c>
      <c r="BM104" s="3878"/>
      <c r="BN104" s="3879"/>
      <c r="BO104" s="3880">
        <v>46204</v>
      </c>
      <c r="BP104" s="3881" t="s">
        <v>65</v>
      </c>
      <c r="BQ104" s="3880">
        <v>46387</v>
      </c>
      <c r="BR104" s="3881" t="s">
        <v>65</v>
      </c>
      <c r="BS104" s="3878">
        <v>68.84</v>
      </c>
      <c r="BT104" s="3878"/>
      <c r="BU104" s="3879"/>
      <c r="BV104" s="3880">
        <v>46388</v>
      </c>
      <c r="BW104" s="3881" t="s">
        <v>65</v>
      </c>
      <c r="BX104" s="3880">
        <v>46568</v>
      </c>
      <c r="BY104" s="3881" t="s">
        <v>65</v>
      </c>
      <c r="BZ104" s="3878">
        <v>74.46</v>
      </c>
      <c r="CA104" s="3878"/>
      <c r="CB104" s="3879"/>
      <c r="CC104" s="3880">
        <v>46569</v>
      </c>
      <c r="CD104" s="3881" t="s">
        <v>65</v>
      </c>
      <c r="CE104" s="3880">
        <v>46752</v>
      </c>
      <c r="CF104" s="3881" t="s">
        <v>65</v>
      </c>
      <c r="CG104" s="3878">
        <v>74.46</v>
      </c>
      <c r="CH104" s="3878"/>
      <c r="CI104" s="3879"/>
      <c r="CJ104" s="3880">
        <v>46753</v>
      </c>
      <c r="CK104" s="3881" t="s">
        <v>65</v>
      </c>
      <c r="CL104" s="3880">
        <v>46934</v>
      </c>
      <c r="CM104" s="3881" t="s">
        <v>65</v>
      </c>
      <c r="CN104" s="3878">
        <v>81.66</v>
      </c>
      <c r="CO104" s="3878"/>
      <c r="CP104" s="3879"/>
      <c r="CQ104" s="3880">
        <v>46935</v>
      </c>
      <c r="CR104" s="3881" t="s">
        <v>65</v>
      </c>
      <c r="CS104" s="3880">
        <v>47118</v>
      </c>
      <c r="CT104" s="3881" t="s">
        <v>65</v>
      </c>
      <c r="CU104" s="4199"/>
      <c r="CV10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4" s="4093">
        <f>STRCHECKDATE(V105:CU105)</f>
      </c>
      <c r="CX104" s="4196"/>
      <c r="CY104" s="4196" t="str">
        <f>IF(T104="","",T104)</f>
        <v/>
      </c>
      <c r="CZ104" s="4196"/>
      <c r="DA104" s="4196"/>
      <c r="DB104" s="3858">
        <v>0</v>
      </c>
    </row>
    <row s="5461" customFormat="1" customHeight="1" ht="14.25">
      <c r="A105" s="4183"/>
      <c r="B105" s="4183"/>
      <c r="C105" s="4183"/>
      <c r="D105" s="4183"/>
      <c r="E105" s="4184"/>
      <c r="F105" s="4184"/>
      <c r="G105" s="4184"/>
      <c r="H105" s="4184"/>
      <c r="I105" s="4185"/>
      <c r="J105" s="4185" t="str">
        <f>I98&amp;".1"</f>
        <v>1.4.1.1.1</v>
      </c>
      <c r="K105" s="4186"/>
      <c r="L105" s="4187"/>
      <c r="M105" s="4188"/>
      <c r="N105" s="4188"/>
      <c r="O105" s="4188"/>
      <c r="P105" s="4189"/>
      <c r="Q105" s="4189"/>
      <c r="R105" s="4191"/>
      <c r="S105" s="4202"/>
      <c r="T105" s="4194"/>
      <c r="U105" s="4194"/>
      <c r="V105" s="3885"/>
      <c r="W105" s="3885"/>
      <c r="X105" s="3886" t="str">
        <f>Y104&amp;"-"&amp;AA104</f>
        <v>-</v>
      </c>
      <c r="Y105" s="3887"/>
      <c r="Z105" s="3881"/>
      <c r="AA105" s="3887"/>
      <c r="AB105" s="3881"/>
      <c r="AC105" s="3885"/>
      <c r="AD105" s="3885"/>
      <c r="AE105" s="3886" t="str">
        <f>AF104&amp;"-"&amp;AH104</f>
        <v>45292-45473</v>
      </c>
      <c r="AF105" s="3887"/>
      <c r="AG105" s="3881"/>
      <c r="AH105" s="4118"/>
      <c r="AI105" s="3881"/>
      <c r="AJ105" s="3885"/>
      <c r="AK105" s="3885"/>
      <c r="AL105" s="3886" t="str">
        <f>AM104&amp;"-"&amp;AO104</f>
        <v>45474-45657</v>
      </c>
      <c r="AM105" s="3887"/>
      <c r="AN105" s="3881"/>
      <c r="AO105" s="3887"/>
      <c r="AP105" s="3881"/>
      <c r="AQ105" s="3885"/>
      <c r="AR105" s="3885"/>
      <c r="AS105" s="3886" t="str">
        <f>AT104&amp;"-"&amp;AV104</f>
        <v>45658-45838</v>
      </c>
      <c r="AT105" s="3887"/>
      <c r="AU105" s="3881"/>
      <c r="AV105" s="3887"/>
      <c r="AW105" s="3881"/>
      <c r="AX105" s="3885"/>
      <c r="AY105" s="3885"/>
      <c r="AZ105" s="3886" t="str">
        <f>BA104&amp;"-"&amp;BC104</f>
        <v>45839-46022</v>
      </c>
      <c r="BA105" s="3887"/>
      <c r="BB105" s="3881"/>
      <c r="BC105" s="3887"/>
      <c r="BD105" s="3881"/>
      <c r="BE105" s="3885"/>
      <c r="BF105" s="3885"/>
      <c r="BG105" s="3886" t="str">
        <f>BH104&amp;"-"&amp;BJ104</f>
        <v>46023-46203</v>
      </c>
      <c r="BH105" s="3887"/>
      <c r="BI105" s="3881"/>
      <c r="BJ105" s="3887"/>
      <c r="BK105" s="3881"/>
      <c r="BL105" s="3885"/>
      <c r="BM105" s="3885"/>
      <c r="BN105" s="3886" t="str">
        <f>BO104&amp;"-"&amp;BQ104</f>
        <v>46204-46387</v>
      </c>
      <c r="BO105" s="3887"/>
      <c r="BP105" s="3881"/>
      <c r="BQ105" s="3887"/>
      <c r="BR105" s="3881"/>
      <c r="BS105" s="3885"/>
      <c r="BT105" s="3885"/>
      <c r="BU105" s="3886" t="str">
        <f>BV104&amp;"-"&amp;BX104</f>
        <v>46388-46568</v>
      </c>
      <c r="BV105" s="3887"/>
      <c r="BW105" s="3881"/>
      <c r="BX105" s="3887"/>
      <c r="BY105" s="3881"/>
      <c r="BZ105" s="3885"/>
      <c r="CA105" s="3885"/>
      <c r="CB105" s="3886" t="str">
        <f>CC104&amp;"-"&amp;CE104</f>
        <v>46569-46752</v>
      </c>
      <c r="CC105" s="3887"/>
      <c r="CD105" s="3881"/>
      <c r="CE105" s="3887"/>
      <c r="CF105" s="3881"/>
      <c r="CG105" s="3885"/>
      <c r="CH105" s="3885"/>
      <c r="CI105" s="3886" t="str">
        <f>CJ104&amp;"-"&amp;CL104</f>
        <v>46753-46934</v>
      </c>
      <c r="CJ105" s="3887"/>
      <c r="CK105" s="3881"/>
      <c r="CL105" s="3887"/>
      <c r="CM105" s="3881"/>
      <c r="CN105" s="3885"/>
      <c r="CO105" s="3885"/>
      <c r="CP105" s="3886" t="str">
        <f>CQ104&amp;"-"&amp;CS104</f>
        <v>46935-47118</v>
      </c>
      <c r="CQ105" s="3887"/>
      <c r="CR105" s="3881"/>
      <c r="CS105" s="3887"/>
      <c r="CT105" s="3881"/>
      <c r="CU105" s="4203"/>
      <c r="CV105" s="4200"/>
      <c r="CW105" s="4093"/>
      <c r="CX105" s="4196"/>
      <c r="CY105" s="4196" t="str">
        <f>IF(T105="","",T105)</f>
        <v/>
      </c>
      <c r="CZ105" s="4196"/>
      <c r="DA105" s="4196"/>
      <c r="DB105" s="3858">
        <v>0</v>
      </c>
    </row>
    <row s="5462" customFormat="1" customHeight="1" ht="21">
      <c r="A106" s="4183"/>
      <c r="B106" s="4183"/>
      <c r="C106" s="4183"/>
      <c r="D106" s="4183"/>
      <c r="E106" s="4184"/>
      <c r="F106" s="4184"/>
      <c r="G106" s="4184"/>
      <c r="H106" s="4184"/>
      <c r="I106" s="4185"/>
      <c r="J106" s="4186" t="str">
        <f>I98&amp;".1"</f>
        <v>1.4.1.1.1</v>
      </c>
      <c r="K106" s="4183"/>
      <c r="L106" s="4187"/>
      <c r="M106" s="4188"/>
      <c r="N106" s="4188"/>
      <c r="O106" s="4188"/>
      <c r="P106" s="4189"/>
      <c r="Q106" s="4189"/>
      <c r="R106" s="4205"/>
      <c r="S106" s="5463"/>
      <c r="T106" s="5464" t="s">
        <v>615</v>
      </c>
      <c r="U106" s="5465"/>
      <c r="V106" s="5466"/>
      <c r="W106" s="5467"/>
      <c r="X106" s="5468"/>
      <c r="Y106" s="5469"/>
      <c r="Z106" s="5470"/>
      <c r="AA106" s="5471"/>
      <c r="AB106" s="5472"/>
      <c r="AC106" s="5473"/>
      <c r="AD106" s="5474"/>
      <c r="AE106" s="5475"/>
      <c r="AF106" s="5476"/>
      <c r="AG106" s="5477"/>
      <c r="AH106" s="5478"/>
      <c r="AI106" s="5479"/>
      <c r="AJ106" s="5480"/>
      <c r="AK106" s="5481"/>
      <c r="AL106" s="5482"/>
      <c r="AM106" s="5483"/>
      <c r="AN106" s="5484"/>
      <c r="AO106" s="5485"/>
      <c r="AP106" s="5486"/>
      <c r="AQ106" s="5487"/>
      <c r="AR106" s="5488"/>
      <c r="AS106" s="5489"/>
      <c r="AT106" s="5490"/>
      <c r="AU106" s="5491"/>
      <c r="AV106" s="5492"/>
      <c r="AW106" s="5493"/>
      <c r="AX106" s="5494"/>
      <c r="AY106" s="5495"/>
      <c r="AZ106" s="5496"/>
      <c r="BA106" s="5497"/>
      <c r="BB106" s="5498"/>
      <c r="BC106" s="5499"/>
      <c r="BD106" s="5500"/>
      <c r="BE106" s="5501"/>
      <c r="BF106" s="5502"/>
      <c r="BG106" s="5503"/>
      <c r="BH106" s="5504"/>
      <c r="BI106" s="5505"/>
      <c r="BJ106" s="5506"/>
      <c r="BK106" s="5507"/>
      <c r="BL106" s="5508"/>
      <c r="BM106" s="5509"/>
      <c r="BN106" s="5510"/>
      <c r="BO106" s="5511"/>
      <c r="BP106" s="5512"/>
      <c r="BQ106" s="5513"/>
      <c r="BR106" s="5514"/>
      <c r="BS106" s="5515"/>
      <c r="BT106" s="5516"/>
      <c r="BU106" s="5517"/>
      <c r="BV106" s="5518"/>
      <c r="BW106" s="5519"/>
      <c r="BX106" s="5520"/>
      <c r="BY106" s="5521"/>
      <c r="BZ106" s="5522"/>
      <c r="CA106" s="5523"/>
      <c r="CB106" s="5524"/>
      <c r="CC106" s="5525"/>
      <c r="CD106" s="5526"/>
      <c r="CE106" s="5527"/>
      <c r="CF106" s="5528"/>
      <c r="CG106" s="5529"/>
      <c r="CH106" s="5530"/>
      <c r="CI106" s="5531"/>
      <c r="CJ106" s="5532"/>
      <c r="CK106" s="5533"/>
      <c r="CL106" s="5534"/>
      <c r="CM106" s="5535"/>
      <c r="CN106" s="5536"/>
      <c r="CO106" s="5537"/>
      <c r="CP106" s="5538"/>
      <c r="CQ106" s="5539"/>
      <c r="CR106" s="5540"/>
      <c r="CS106" s="5541"/>
      <c r="CT106" s="5542"/>
      <c r="CU106" s="5543"/>
      <c r="CV106" s="4287" t="s">
        <v>616</v>
      </c>
      <c r="CW106" s="4093"/>
      <c r="CX106" s="4196"/>
      <c r="CY106" s="4196" t="str">
        <f>IF(T106="","",T106)</f>
        <v>Добавить значение признака дифференциации</v>
      </c>
      <c r="CZ106" s="4196"/>
      <c r="DA106" s="4196"/>
      <c r="DB106" s="3858">
        <v>0</v>
      </c>
    </row>
    <row s="5544" customFormat="1" customHeight="1" ht="23.25">
      <c r="A107" s="4183"/>
      <c r="B107" s="4183"/>
      <c r="C107" s="4183"/>
      <c r="D107" s="4183"/>
      <c r="E107" s="4184"/>
      <c r="F107" s="4184"/>
      <c r="G107" s="4184"/>
      <c r="H107" s="4184"/>
      <c r="I107" s="4185"/>
      <c r="J107" s="4186" t="str">
        <f>I98&amp;".3"</f>
        <v>1.4.1.1.3</v>
      </c>
      <c r="K107" s="4183"/>
      <c r="L107" s="4187" t="s">
        <v>538</v>
      </c>
      <c r="M107" s="4188"/>
      <c r="N107" s="4188"/>
      <c r="O107" s="4188"/>
      <c r="P107" s="4189"/>
      <c r="Q107" s="4190" t="s">
        <v>109</v>
      </c>
      <c r="R107" s="4191"/>
      <c r="S107" s="4192" t="str">
        <f>$J107</f>
        <v>1.4.1.1.3</v>
      </c>
      <c r="T107" s="4193" t="s">
        <v>539</v>
      </c>
      <c r="U107" s="4194"/>
      <c r="V107" s="3874"/>
      <c r="W107" s="3875"/>
      <c r="X107" s="3875"/>
      <c r="Y107" s="3875"/>
      <c r="Z107" s="3875"/>
      <c r="AA107" s="3875"/>
      <c r="AB107" s="3876"/>
      <c r="AC107" s="3874" t="s">
        <v>627</v>
      </c>
      <c r="AD107" s="3875"/>
      <c r="AE107" s="3875"/>
      <c r="AF107" s="3875"/>
      <c r="AG107" s="3875"/>
      <c r="AH107" s="3875"/>
      <c r="AI107" s="3875"/>
      <c r="AJ107" s="3874"/>
      <c r="AK107" s="3875"/>
      <c r="AL107" s="3875"/>
      <c r="AM107" s="3875"/>
      <c r="AN107" s="3875"/>
      <c r="AO107" s="3875"/>
      <c r="AP107" s="3876"/>
      <c r="AQ107" s="3874"/>
      <c r="AR107" s="3875"/>
      <c r="AS107" s="3875"/>
      <c r="AT107" s="3875"/>
      <c r="AU107" s="3875"/>
      <c r="AV107" s="3875"/>
      <c r="AW107" s="3876"/>
      <c r="AX107" s="3874"/>
      <c r="AY107" s="3875"/>
      <c r="AZ107" s="3875"/>
      <c r="BA107" s="3875"/>
      <c r="BB107" s="3875"/>
      <c r="BC107" s="3875"/>
      <c r="BD107" s="3876"/>
      <c r="BE107" s="3874"/>
      <c r="BF107" s="3875"/>
      <c r="BG107" s="3875"/>
      <c r="BH107" s="3875"/>
      <c r="BI107" s="3875"/>
      <c r="BJ107" s="3875"/>
      <c r="BK107" s="3876"/>
      <c r="BL107" s="3874"/>
      <c r="BM107" s="3875"/>
      <c r="BN107" s="3875"/>
      <c r="BO107" s="3875"/>
      <c r="BP107" s="3875"/>
      <c r="BQ107" s="3875"/>
      <c r="BR107" s="3876"/>
      <c r="BS107" s="3874"/>
      <c r="BT107" s="3875"/>
      <c r="BU107" s="3875"/>
      <c r="BV107" s="3875"/>
      <c r="BW107" s="3875"/>
      <c r="BX107" s="3875"/>
      <c r="BY107" s="3876"/>
      <c r="BZ107" s="3874"/>
      <c r="CA107" s="3875"/>
      <c r="CB107" s="3875"/>
      <c r="CC107" s="3875"/>
      <c r="CD107" s="3875"/>
      <c r="CE107" s="3875"/>
      <c r="CF107" s="3876"/>
      <c r="CG107" s="3874"/>
      <c r="CH107" s="3875"/>
      <c r="CI107" s="3875"/>
      <c r="CJ107" s="3875"/>
      <c r="CK107" s="3875"/>
      <c r="CL107" s="3875"/>
      <c r="CM107" s="3876"/>
      <c r="CN107" s="3874"/>
      <c r="CO107" s="3875"/>
      <c r="CP107" s="3875"/>
      <c r="CQ107" s="3875"/>
      <c r="CR107" s="3875"/>
      <c r="CS107" s="3875"/>
      <c r="CT107" s="3876"/>
      <c r="CU107" s="3876"/>
      <c r="CV107" s="4195" t="s">
        <v>614</v>
      </c>
      <c r="CW107" s="4093"/>
      <c r="CX107" s="4196"/>
      <c r="CY107" s="4196" t="str">
        <f>IF(T107="","",T107)</f>
        <v>Группа потребителей</v>
      </c>
      <c r="CZ107" s="4196"/>
      <c r="DA107" s="4196"/>
      <c r="DB107" s="3858">
        <v>0</v>
      </c>
    </row>
    <row s="5545" customFormat="1" customHeight="1" ht="23.25">
      <c r="A108" s="4183"/>
      <c r="B108" s="4183"/>
      <c r="C108" s="4183"/>
      <c r="D108" s="4183"/>
      <c r="E108" s="4184"/>
      <c r="F108" s="4184"/>
      <c r="G108" s="4184"/>
      <c r="H108" s="4184"/>
      <c r="I108" s="4185"/>
      <c r="J108" s="4185" t="str">
        <f>I98&amp;".2"</f>
        <v>1.4.1.1.2</v>
      </c>
      <c r="K108" s="4186" t="str">
        <f>J107&amp;".1"</f>
        <v>1.4.1.1.3.1</v>
      </c>
      <c r="L108" s="4187"/>
      <c r="M108" s="4188"/>
      <c r="N108" s="4188"/>
      <c r="O108" s="4188"/>
      <c r="P108" s="4189"/>
      <c r="Q108" s="4189"/>
      <c r="R108" s="4191">
        <v>1</v>
      </c>
      <c r="S108" s="4192" t="str">
        <f>$K108</f>
        <v>1.4.1.1.3.1</v>
      </c>
      <c r="T108" s="4198"/>
      <c r="U108" s="4194"/>
      <c r="V108" s="3878"/>
      <c r="W108" s="3878"/>
      <c r="X108" s="3879"/>
      <c r="Y108" s="3880"/>
      <c r="Z108" s="3881" t="s">
        <v>65</v>
      </c>
      <c r="AA108" s="3880"/>
      <c r="AB108" s="3881" t="s">
        <v>65</v>
      </c>
      <c r="AC108" s="3878">
        <v>51.99</v>
      </c>
      <c r="AD108" s="3878"/>
      <c r="AE108" s="3879"/>
      <c r="AF108" s="3880">
        <v>45292</v>
      </c>
      <c r="AG108" s="3881" t="s">
        <v>65</v>
      </c>
      <c r="AH108" s="4116">
        <v>45473</v>
      </c>
      <c r="AI108" s="3881" t="s">
        <v>65</v>
      </c>
      <c r="AJ108" s="3878">
        <v>54.69</v>
      </c>
      <c r="AK108" s="3878"/>
      <c r="AL108" s="3879"/>
      <c r="AM108" s="3880">
        <v>45474</v>
      </c>
      <c r="AN108" s="3881" t="s">
        <v>65</v>
      </c>
      <c r="AO108" s="3880">
        <v>45657</v>
      </c>
      <c r="AP108" s="3881" t="s">
        <v>65</v>
      </c>
      <c r="AQ108" s="3878">
        <v>54.69</v>
      </c>
      <c r="AR108" s="3878"/>
      <c r="AS108" s="3879"/>
      <c r="AT108" s="3880">
        <v>45658</v>
      </c>
      <c r="AU108" s="3881" t="s">
        <v>65</v>
      </c>
      <c r="AV108" s="3880">
        <v>45838</v>
      </c>
      <c r="AW108" s="3881" t="s">
        <v>65</v>
      </c>
      <c r="AX108" s="3878">
        <v>57.43</v>
      </c>
      <c r="AY108" s="3878"/>
      <c r="AZ108" s="3879"/>
      <c r="BA108" s="3880">
        <v>45839</v>
      </c>
      <c r="BB108" s="3881" t="s">
        <v>65</v>
      </c>
      <c r="BC108" s="3880">
        <v>46022</v>
      </c>
      <c r="BD108" s="3881" t="s">
        <v>65</v>
      </c>
      <c r="BE108" s="3878">
        <v>62.55</v>
      </c>
      <c r="BF108" s="3878"/>
      <c r="BG108" s="3879"/>
      <c r="BH108" s="3880">
        <v>46023</v>
      </c>
      <c r="BI108" s="3881" t="s">
        <v>65</v>
      </c>
      <c r="BJ108" s="3880">
        <v>46203</v>
      </c>
      <c r="BK108" s="3881" t="s">
        <v>65</v>
      </c>
      <c r="BL108" s="3878">
        <v>68.84</v>
      </c>
      <c r="BM108" s="3878"/>
      <c r="BN108" s="3879"/>
      <c r="BO108" s="3880">
        <v>46204</v>
      </c>
      <c r="BP108" s="3881" t="s">
        <v>65</v>
      </c>
      <c r="BQ108" s="3880">
        <v>46387</v>
      </c>
      <c r="BR108" s="3881" t="s">
        <v>65</v>
      </c>
      <c r="BS108" s="3878">
        <v>68.84</v>
      </c>
      <c r="BT108" s="3878"/>
      <c r="BU108" s="3879"/>
      <c r="BV108" s="3880">
        <v>46388</v>
      </c>
      <c r="BW108" s="3881" t="s">
        <v>65</v>
      </c>
      <c r="BX108" s="3880">
        <v>46568</v>
      </c>
      <c r="BY108" s="3881" t="s">
        <v>65</v>
      </c>
      <c r="BZ108" s="3878">
        <v>74.46</v>
      </c>
      <c r="CA108" s="3878"/>
      <c r="CB108" s="3879"/>
      <c r="CC108" s="3880">
        <v>46569</v>
      </c>
      <c r="CD108" s="3881" t="s">
        <v>65</v>
      </c>
      <c r="CE108" s="3880">
        <v>46752</v>
      </c>
      <c r="CF108" s="3881" t="s">
        <v>65</v>
      </c>
      <c r="CG108" s="3878">
        <v>74.46</v>
      </c>
      <c r="CH108" s="3878"/>
      <c r="CI108" s="3879"/>
      <c r="CJ108" s="3880">
        <v>46753</v>
      </c>
      <c r="CK108" s="3881" t="s">
        <v>65</v>
      </c>
      <c r="CL108" s="3880">
        <v>46934</v>
      </c>
      <c r="CM108" s="3881" t="s">
        <v>65</v>
      </c>
      <c r="CN108" s="3878">
        <v>81.66</v>
      </c>
      <c r="CO108" s="3878"/>
      <c r="CP108" s="3879"/>
      <c r="CQ108" s="3880">
        <v>46935</v>
      </c>
      <c r="CR108" s="3881" t="s">
        <v>65</v>
      </c>
      <c r="CS108" s="3880">
        <v>47118</v>
      </c>
      <c r="CT108" s="3881" t="s">
        <v>65</v>
      </c>
      <c r="CU108" s="4199"/>
      <c r="CV10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08" s="4093">
        <f>STRCHECKDATE(V109:CU109)</f>
      </c>
      <c r="CX108" s="4196"/>
      <c r="CY108" s="4196" t="str">
        <f>IF(T108="","",T108)</f>
        <v/>
      </c>
      <c r="CZ108" s="4196"/>
      <c r="DA108" s="4196"/>
      <c r="DB108" s="3858">
        <v>0</v>
      </c>
    </row>
    <row s="5546" customFormat="1" customHeight="1" ht="14.25">
      <c r="A109" s="4183"/>
      <c r="B109" s="4183"/>
      <c r="C109" s="4183"/>
      <c r="D109" s="4183"/>
      <c r="E109" s="4184"/>
      <c r="F109" s="4184"/>
      <c r="G109" s="4184"/>
      <c r="H109" s="4184"/>
      <c r="I109" s="4185"/>
      <c r="J109" s="4185" t="str">
        <f>I98&amp;".2"</f>
        <v>1.4.1.1.2</v>
      </c>
      <c r="K109" s="4186"/>
      <c r="L109" s="4187"/>
      <c r="M109" s="4188"/>
      <c r="N109" s="4188"/>
      <c r="O109" s="4188"/>
      <c r="P109" s="4189"/>
      <c r="Q109" s="4189"/>
      <c r="R109" s="4191"/>
      <c r="S109" s="4202"/>
      <c r="T109" s="4194"/>
      <c r="U109" s="4194"/>
      <c r="V109" s="3885"/>
      <c r="W109" s="3885"/>
      <c r="X109" s="3886" t="str">
        <f>Y108&amp;"-"&amp;AA108</f>
        <v>-</v>
      </c>
      <c r="Y109" s="3887"/>
      <c r="Z109" s="3881"/>
      <c r="AA109" s="3887"/>
      <c r="AB109" s="3881"/>
      <c r="AC109" s="3885"/>
      <c r="AD109" s="3885"/>
      <c r="AE109" s="3886" t="str">
        <f>AF108&amp;"-"&amp;AH108</f>
        <v>45292-45473</v>
      </c>
      <c r="AF109" s="3887"/>
      <c r="AG109" s="3881"/>
      <c r="AH109" s="4118"/>
      <c r="AI109" s="3881"/>
      <c r="AJ109" s="3885"/>
      <c r="AK109" s="3885"/>
      <c r="AL109" s="3886" t="str">
        <f>AM108&amp;"-"&amp;AO108</f>
        <v>45474-45657</v>
      </c>
      <c r="AM109" s="3887"/>
      <c r="AN109" s="3881"/>
      <c r="AO109" s="3887"/>
      <c r="AP109" s="3881"/>
      <c r="AQ109" s="3885"/>
      <c r="AR109" s="3885"/>
      <c r="AS109" s="3886" t="str">
        <f>AT108&amp;"-"&amp;AV108</f>
        <v>45658-45838</v>
      </c>
      <c r="AT109" s="3887"/>
      <c r="AU109" s="3881"/>
      <c r="AV109" s="3887"/>
      <c r="AW109" s="3881"/>
      <c r="AX109" s="3885"/>
      <c r="AY109" s="3885"/>
      <c r="AZ109" s="3886" t="str">
        <f>BA108&amp;"-"&amp;BC108</f>
        <v>45839-46022</v>
      </c>
      <c r="BA109" s="3887"/>
      <c r="BB109" s="3881"/>
      <c r="BC109" s="3887"/>
      <c r="BD109" s="3881"/>
      <c r="BE109" s="3885"/>
      <c r="BF109" s="3885"/>
      <c r="BG109" s="3886" t="str">
        <f>BH108&amp;"-"&amp;BJ108</f>
        <v>46023-46203</v>
      </c>
      <c r="BH109" s="3887"/>
      <c r="BI109" s="3881"/>
      <c r="BJ109" s="3887"/>
      <c r="BK109" s="3881"/>
      <c r="BL109" s="3885"/>
      <c r="BM109" s="3885"/>
      <c r="BN109" s="3886" t="str">
        <f>BO108&amp;"-"&amp;BQ108</f>
        <v>46204-46387</v>
      </c>
      <c r="BO109" s="3887"/>
      <c r="BP109" s="3881"/>
      <c r="BQ109" s="3887"/>
      <c r="BR109" s="3881"/>
      <c r="BS109" s="3885"/>
      <c r="BT109" s="3885"/>
      <c r="BU109" s="3886" t="str">
        <f>BV108&amp;"-"&amp;BX108</f>
        <v>46388-46568</v>
      </c>
      <c r="BV109" s="3887"/>
      <c r="BW109" s="3881"/>
      <c r="BX109" s="3887"/>
      <c r="BY109" s="3881"/>
      <c r="BZ109" s="3885"/>
      <c r="CA109" s="3885"/>
      <c r="CB109" s="3886" t="str">
        <f>CC108&amp;"-"&amp;CE108</f>
        <v>46569-46752</v>
      </c>
      <c r="CC109" s="3887"/>
      <c r="CD109" s="3881"/>
      <c r="CE109" s="3887"/>
      <c r="CF109" s="3881"/>
      <c r="CG109" s="3885"/>
      <c r="CH109" s="3885"/>
      <c r="CI109" s="3886" t="str">
        <f>CJ108&amp;"-"&amp;CL108</f>
        <v>46753-46934</v>
      </c>
      <c r="CJ109" s="3887"/>
      <c r="CK109" s="3881"/>
      <c r="CL109" s="3887"/>
      <c r="CM109" s="3881"/>
      <c r="CN109" s="3885"/>
      <c r="CO109" s="3885"/>
      <c r="CP109" s="3886" t="str">
        <f>CQ108&amp;"-"&amp;CS108</f>
        <v>46935-47118</v>
      </c>
      <c r="CQ109" s="3887"/>
      <c r="CR109" s="3881"/>
      <c r="CS109" s="3887"/>
      <c r="CT109" s="3881"/>
      <c r="CU109" s="4203"/>
      <c r="CV109" s="4200"/>
      <c r="CW109" s="4093"/>
      <c r="CX109" s="4196"/>
      <c r="CY109" s="4196" t="str">
        <f>IF(T109="","",T109)</f>
        <v/>
      </c>
      <c r="CZ109" s="4196"/>
      <c r="DA109" s="4196"/>
      <c r="DB109" s="3858">
        <v>0</v>
      </c>
    </row>
    <row s="5547" customFormat="1" customHeight="1" ht="21">
      <c r="A110" s="4183"/>
      <c r="B110" s="4183"/>
      <c r="C110" s="4183"/>
      <c r="D110" s="4183"/>
      <c r="E110" s="4184"/>
      <c r="F110" s="4184"/>
      <c r="G110" s="4184"/>
      <c r="H110" s="4184"/>
      <c r="I110" s="4185"/>
      <c r="J110" s="4186" t="str">
        <f>I98&amp;".2"</f>
        <v>1.4.1.1.2</v>
      </c>
      <c r="K110" s="4183"/>
      <c r="L110" s="4187"/>
      <c r="M110" s="4188"/>
      <c r="N110" s="4188"/>
      <c r="O110" s="4188"/>
      <c r="P110" s="4189"/>
      <c r="Q110" s="4189"/>
      <c r="R110" s="4205"/>
      <c r="S110" s="5548"/>
      <c r="T110" s="5549" t="s">
        <v>615</v>
      </c>
      <c r="U110" s="5550"/>
      <c r="V110" s="5551"/>
      <c r="W110" s="5552"/>
      <c r="X110" s="5553"/>
      <c r="Y110" s="5554"/>
      <c r="Z110" s="5555"/>
      <c r="AA110" s="5556"/>
      <c r="AB110" s="5557"/>
      <c r="AC110" s="5558"/>
      <c r="AD110" s="5559"/>
      <c r="AE110" s="5560"/>
      <c r="AF110" s="5561"/>
      <c r="AG110" s="5562"/>
      <c r="AH110" s="5563"/>
      <c r="AI110" s="5564"/>
      <c r="AJ110" s="5565"/>
      <c r="AK110" s="5566"/>
      <c r="AL110" s="5567"/>
      <c r="AM110" s="5568"/>
      <c r="AN110" s="5569"/>
      <c r="AO110" s="5570"/>
      <c r="AP110" s="5571"/>
      <c r="AQ110" s="5572"/>
      <c r="AR110" s="5573"/>
      <c r="AS110" s="5574"/>
      <c r="AT110" s="5575"/>
      <c r="AU110" s="5576"/>
      <c r="AV110" s="5577"/>
      <c r="AW110" s="5578"/>
      <c r="AX110" s="5579"/>
      <c r="AY110" s="5580"/>
      <c r="AZ110" s="5581"/>
      <c r="BA110" s="5582"/>
      <c r="BB110" s="5583"/>
      <c r="BC110" s="5584"/>
      <c r="BD110" s="5585"/>
      <c r="BE110" s="5586"/>
      <c r="BF110" s="5587"/>
      <c r="BG110" s="5588"/>
      <c r="BH110" s="5589"/>
      <c r="BI110" s="5590"/>
      <c r="BJ110" s="5591"/>
      <c r="BK110" s="5592"/>
      <c r="BL110" s="5593"/>
      <c r="BM110" s="5594"/>
      <c r="BN110" s="5595"/>
      <c r="BO110" s="5596"/>
      <c r="BP110" s="5597"/>
      <c r="BQ110" s="5598"/>
      <c r="BR110" s="5599"/>
      <c r="BS110" s="5600"/>
      <c r="BT110" s="5601"/>
      <c r="BU110" s="5602"/>
      <c r="BV110" s="5603"/>
      <c r="BW110" s="5604"/>
      <c r="BX110" s="5605"/>
      <c r="BY110" s="5606"/>
      <c r="BZ110" s="5607"/>
      <c r="CA110" s="5608"/>
      <c r="CB110" s="5609"/>
      <c r="CC110" s="5610"/>
      <c r="CD110" s="5611"/>
      <c r="CE110" s="5612"/>
      <c r="CF110" s="5613"/>
      <c r="CG110" s="5614"/>
      <c r="CH110" s="5615"/>
      <c r="CI110" s="5616"/>
      <c r="CJ110" s="5617"/>
      <c r="CK110" s="5618"/>
      <c r="CL110" s="5619"/>
      <c r="CM110" s="5620"/>
      <c r="CN110" s="5621"/>
      <c r="CO110" s="5622"/>
      <c r="CP110" s="5623"/>
      <c r="CQ110" s="5624"/>
      <c r="CR110" s="5625"/>
      <c r="CS110" s="5626"/>
      <c r="CT110" s="5627"/>
      <c r="CU110" s="5628"/>
      <c r="CV110" s="4287" t="s">
        <v>616</v>
      </c>
      <c r="CW110" s="4093"/>
      <c r="CX110" s="4196"/>
      <c r="CY110" s="4196" t="str">
        <f>IF(T110="","",T110)</f>
        <v>Добавить значение признака дифференциации</v>
      </c>
      <c r="CZ110" s="4196"/>
      <c r="DA110" s="4196"/>
      <c r="DB110" s="3858">
        <v>0</v>
      </c>
    </row>
    <row s="5629" customFormat="1" customHeight="1" ht="21">
      <c r="A111" s="4183"/>
      <c r="B111" s="4183"/>
      <c r="C111" s="4183"/>
      <c r="D111" s="4183"/>
      <c r="E111" s="4184"/>
      <c r="F111" s="4184" t="s">
        <v>94</v>
      </c>
      <c r="G111" s="4184"/>
      <c r="H111" s="4184"/>
      <c r="I111" s="4186"/>
      <c r="J111" s="4183"/>
      <c r="K111" s="4183"/>
      <c r="L111" s="4187"/>
      <c r="M111" s="4188"/>
      <c r="N111" s="4188"/>
      <c r="O111" s="4188"/>
      <c r="P111" s="4189"/>
      <c r="Q111" s="4189"/>
      <c r="R111" s="4205"/>
      <c r="S111" s="5630"/>
      <c r="T111" s="5631" t="s">
        <v>544</v>
      </c>
      <c r="U111" s="5632"/>
      <c r="V111" s="5633"/>
      <c r="W111" s="5634"/>
      <c r="X111" s="5635"/>
      <c r="Y111" s="5636"/>
      <c r="Z111" s="5637"/>
      <c r="AA111" s="5638"/>
      <c r="AB111" s="5639"/>
      <c r="AC111" s="5640"/>
      <c r="AD111" s="5641"/>
      <c r="AE111" s="5642"/>
      <c r="AF111" s="5643"/>
      <c r="AG111" s="5644"/>
      <c r="AH111" s="5645"/>
      <c r="AI111" s="5646"/>
      <c r="AJ111" s="5647"/>
      <c r="AK111" s="5648"/>
      <c r="AL111" s="5649"/>
      <c r="AM111" s="5650"/>
      <c r="AN111" s="5651"/>
      <c r="AO111" s="5652"/>
      <c r="AP111" s="5653"/>
      <c r="AQ111" s="5654"/>
      <c r="AR111" s="5655"/>
      <c r="AS111" s="5656"/>
      <c r="AT111" s="5657"/>
      <c r="AU111" s="5658"/>
      <c r="AV111" s="5659"/>
      <c r="AW111" s="5660"/>
      <c r="AX111" s="5661"/>
      <c r="AY111" s="5662"/>
      <c r="AZ111" s="5663"/>
      <c r="BA111" s="5664"/>
      <c r="BB111" s="5665"/>
      <c r="BC111" s="5666"/>
      <c r="BD111" s="5667"/>
      <c r="BE111" s="5668"/>
      <c r="BF111" s="5669"/>
      <c r="BG111" s="5670"/>
      <c r="BH111" s="5671"/>
      <c r="BI111" s="5672"/>
      <c r="BJ111" s="5673"/>
      <c r="BK111" s="5674"/>
      <c r="BL111" s="5675"/>
      <c r="BM111" s="5676"/>
      <c r="BN111" s="5677"/>
      <c r="BO111" s="5678"/>
      <c r="BP111" s="5679"/>
      <c r="BQ111" s="5680"/>
      <c r="BR111" s="5681"/>
      <c r="BS111" s="5682"/>
      <c r="BT111" s="5683"/>
      <c r="BU111" s="5684"/>
      <c r="BV111" s="5685"/>
      <c r="BW111" s="5686"/>
      <c r="BX111" s="5687"/>
      <c r="BY111" s="5688"/>
      <c r="BZ111" s="5689"/>
      <c r="CA111" s="5690"/>
      <c r="CB111" s="5691"/>
      <c r="CC111" s="5692"/>
      <c r="CD111" s="5693"/>
      <c r="CE111" s="5694"/>
      <c r="CF111" s="5695"/>
      <c r="CG111" s="5696"/>
      <c r="CH111" s="5697"/>
      <c r="CI111" s="5698"/>
      <c r="CJ111" s="5699"/>
      <c r="CK111" s="5700"/>
      <c r="CL111" s="5701"/>
      <c r="CM111" s="5702"/>
      <c r="CN111" s="5703"/>
      <c r="CO111" s="5704"/>
      <c r="CP111" s="5705"/>
      <c r="CQ111" s="5706"/>
      <c r="CR111" s="5707"/>
      <c r="CS111" s="5708"/>
      <c r="CT111" s="5709"/>
      <c r="CU111" s="5710"/>
      <c r="CV111" s="5711"/>
      <c r="CW111" s="4093"/>
      <c r="CX111" s="4196"/>
      <c r="CY111" s="4196" t="str">
        <f>IF(T111="","",T111)</f>
        <v>Добавить группу потребителей</v>
      </c>
      <c r="CZ111" s="4196"/>
      <c r="DA111" s="4196"/>
      <c r="DB111" s="3858">
        <v>0</v>
      </c>
    </row>
    <row s="5712" customFormat="1" customHeight="1" ht="14.25">
      <c r="A112" s="4183"/>
      <c r="B112" s="4183"/>
      <c r="C112" s="4183"/>
      <c r="D112" s="4183"/>
      <c r="E112" s="4184"/>
      <c r="F112" s="4184" t="s">
        <v>94</v>
      </c>
      <c r="G112" s="4184"/>
      <c r="H112" s="4500"/>
      <c r="I112" s="4183"/>
      <c r="J112" s="4183"/>
      <c r="K112" s="4183"/>
      <c r="L112" s="4187"/>
      <c r="M112" s="4501"/>
      <c r="N112" s="4501"/>
      <c r="O112" s="4083"/>
      <c r="P112" s="4853"/>
      <c r="Q112" s="4854"/>
      <c r="R112" s="4855"/>
      <c r="S112" s="5713"/>
      <c r="T112" s="5714" t="s">
        <v>617</v>
      </c>
      <c r="U112" s="5715"/>
      <c r="V112" s="5716"/>
      <c r="W112" s="5717"/>
      <c r="X112" s="5718"/>
      <c r="Y112" s="5719"/>
      <c r="Z112" s="5720"/>
      <c r="AA112" s="5721"/>
      <c r="AB112" s="5722"/>
      <c r="AC112" s="5723"/>
      <c r="AD112" s="5724"/>
      <c r="AE112" s="5725"/>
      <c r="AF112" s="5726"/>
      <c r="AG112" s="5727"/>
      <c r="AH112" s="5728"/>
      <c r="AI112" s="5729"/>
      <c r="AJ112" s="5730"/>
      <c r="AK112" s="5731"/>
      <c r="AL112" s="5732"/>
      <c r="AM112" s="5733"/>
      <c r="AN112" s="5734"/>
      <c r="AO112" s="5735"/>
      <c r="AP112" s="5736"/>
      <c r="AQ112" s="5737"/>
      <c r="AR112" s="5738"/>
      <c r="AS112" s="5739"/>
      <c r="AT112" s="5740"/>
      <c r="AU112" s="5741"/>
      <c r="AV112" s="5742"/>
      <c r="AW112" s="5743"/>
      <c r="AX112" s="5744"/>
      <c r="AY112" s="5745"/>
      <c r="AZ112" s="5746"/>
      <c r="BA112" s="5747"/>
      <c r="BB112" s="5748"/>
      <c r="BC112" s="5749"/>
      <c r="BD112" s="5750"/>
      <c r="BE112" s="5751"/>
      <c r="BF112" s="5752"/>
      <c r="BG112" s="5753"/>
      <c r="BH112" s="5754"/>
      <c r="BI112" s="5755"/>
      <c r="BJ112" s="5756"/>
      <c r="BK112" s="5757"/>
      <c r="BL112" s="5758"/>
      <c r="BM112" s="5759"/>
      <c r="BN112" s="5760"/>
      <c r="BO112" s="5761"/>
      <c r="BP112" s="5762"/>
      <c r="BQ112" s="5763"/>
      <c r="BR112" s="5764"/>
      <c r="BS112" s="5765"/>
      <c r="BT112" s="5766"/>
      <c r="BU112" s="5767"/>
      <c r="BV112" s="5768"/>
      <c r="BW112" s="5769"/>
      <c r="BX112" s="5770"/>
      <c r="BY112" s="5771"/>
      <c r="BZ112" s="5772"/>
      <c r="CA112" s="5773"/>
      <c r="CB112" s="5774"/>
      <c r="CC112" s="5775"/>
      <c r="CD112" s="5776"/>
      <c r="CE112" s="5777"/>
      <c r="CF112" s="5778"/>
      <c r="CG112" s="5779"/>
      <c r="CH112" s="5780"/>
      <c r="CI112" s="5781"/>
      <c r="CJ112" s="5782"/>
      <c r="CK112" s="5783"/>
      <c r="CL112" s="5784"/>
      <c r="CM112" s="5785"/>
      <c r="CN112" s="5786"/>
      <c r="CO112" s="5787"/>
      <c r="CP112" s="5788"/>
      <c r="CQ112" s="5789"/>
      <c r="CR112" s="5790"/>
      <c r="CS112" s="5791"/>
      <c r="CT112" s="5792"/>
      <c r="CU112" s="5793"/>
      <c r="CV112" s="5794"/>
      <c r="CW112" s="4093"/>
      <c r="CX112" s="4196"/>
      <c r="CY112" s="4196" t="str">
        <f>IF(T112="","",T112)</f>
        <v>Добавить наименование признака дифференциации</v>
      </c>
      <c r="CZ112" s="4196"/>
      <c r="DA112" s="4196"/>
      <c r="DB112" s="3858">
        <v>0</v>
      </c>
    </row>
    <row s="5795" customFormat="1" customHeight="1" ht="14.25">
      <c r="A113" s="4939"/>
      <c r="B113" s="4939"/>
      <c r="C113" s="4939"/>
      <c r="D113" s="4939"/>
      <c r="E113" s="4184"/>
      <c r="F113" s="4500" t="s">
        <v>94</v>
      </c>
      <c r="G113" s="4939"/>
      <c r="H113" s="4939"/>
      <c r="I113" s="4939"/>
      <c r="J113" s="4939"/>
      <c r="K113" s="4939"/>
      <c r="L113" s="4940"/>
      <c r="M113" s="4941"/>
      <c r="N113" s="4941"/>
      <c r="O113" s="4093"/>
      <c r="P113" s="4942"/>
      <c r="Q113" s="4943"/>
      <c r="R113" s="4942"/>
      <c r="S113" s="4944"/>
      <c r="T113" s="4945" t="s">
        <v>302</v>
      </c>
      <c r="U113" s="4081"/>
      <c r="V113" s="4081"/>
      <c r="W113" s="4081"/>
      <c r="X113" s="4081"/>
      <c r="Y113" s="4081"/>
      <c r="Z113" s="4081"/>
      <c r="AA113" s="4081"/>
      <c r="AB113" s="4081"/>
      <c r="AC113" s="4081"/>
      <c r="AD113" s="4081"/>
      <c r="AE113" s="4081"/>
      <c r="AF113" s="4081"/>
      <c r="AG113" s="4081"/>
      <c r="AH113" s="4081"/>
      <c r="AI113" s="4081"/>
      <c r="AJ113" s="4081"/>
      <c r="AK113" s="4081"/>
      <c r="AL113" s="4081"/>
      <c r="AM113" s="4081"/>
      <c r="AN113" s="4081"/>
      <c r="AO113" s="4081"/>
      <c r="AP113" s="4081"/>
      <c r="AQ113" s="4081"/>
      <c r="AR113" s="4081"/>
      <c r="AS113" s="4081"/>
      <c r="AT113" s="4081"/>
      <c r="AU113" s="4081"/>
      <c r="AV113" s="4081"/>
      <c r="AW113" s="4081"/>
      <c r="AX113" s="4081"/>
      <c r="AY113" s="4081"/>
      <c r="AZ113" s="4081"/>
      <c r="BA113" s="4081"/>
      <c r="BB113" s="4081"/>
      <c r="BC113" s="4081"/>
      <c r="BD113" s="4081"/>
      <c r="BE113" s="4081"/>
      <c r="BF113" s="4081"/>
      <c r="BG113" s="4081"/>
      <c r="BH113" s="4081"/>
      <c r="BI113" s="4081"/>
      <c r="BJ113" s="4081"/>
      <c r="BK113" s="4081"/>
      <c r="BL113" s="4081"/>
      <c r="BM113" s="4081"/>
      <c r="BN113" s="4081"/>
      <c r="BO113" s="4081"/>
      <c r="BP113" s="4081"/>
      <c r="BQ113" s="4081"/>
      <c r="BR113" s="4081"/>
      <c r="BS113" s="4081"/>
      <c r="BT113" s="4081"/>
      <c r="BU113" s="4081"/>
      <c r="BV113" s="4081"/>
      <c r="BW113" s="4081"/>
      <c r="BX113" s="4081"/>
      <c r="BY113" s="4081"/>
      <c r="BZ113" s="4081"/>
      <c r="CA113" s="4081"/>
      <c r="CB113" s="4081"/>
      <c r="CC113" s="4081"/>
      <c r="CD113" s="4081"/>
      <c r="CE113" s="4081"/>
      <c r="CF113" s="4081"/>
      <c r="CG113" s="4081"/>
      <c r="CH113" s="4081"/>
      <c r="CI113" s="4081"/>
      <c r="CJ113" s="4081"/>
      <c r="CK113" s="4081"/>
      <c r="CL113" s="4081"/>
      <c r="CM113" s="4081"/>
      <c r="CN113" s="4081"/>
      <c r="CO113" s="4081"/>
      <c r="CP113" s="4081"/>
      <c r="CQ113" s="4081"/>
      <c r="CR113" s="4081"/>
      <c r="CS113" s="4081"/>
      <c r="CT113" s="4081"/>
      <c r="CU113" s="4081"/>
      <c r="CV113" s="4081"/>
      <c r="CW113" s="4093"/>
      <c r="CX113" s="4196"/>
      <c r="CY113" s="4196" t="str">
        <f>IF(T113="","",T113)</f>
        <v>Добавить централизованную систему для дифференциации</v>
      </c>
      <c r="CZ113" s="4196"/>
      <c r="DA113" s="4196"/>
      <c r="DB113" s="4093">
        <v>0</v>
      </c>
    </row>
    <row s="5796" customFormat="1" customHeight="1" ht="23.25">
      <c r="A114" s="4183"/>
      <c r="B114" s="4183" t="s">
        <v>312</v>
      </c>
      <c r="C114" s="4183"/>
      <c r="D114" s="4183"/>
      <c r="E114" s="4184"/>
      <c r="F114" s="4500" t="s">
        <v>122</v>
      </c>
      <c r="G114" s="4183"/>
      <c r="H114" s="4183"/>
      <c r="I114" s="4183"/>
      <c r="J114" s="4183"/>
      <c r="K114" s="4183"/>
      <c r="L114" s="4187"/>
      <c r="M114" s="4501"/>
      <c r="N114" s="4501"/>
      <c r="O114" s="4501"/>
      <c r="P114" s="4502"/>
      <c r="Q114" s="4503"/>
      <c r="R114" s="4504"/>
      <c r="S114" s="4192" t="str">
        <f>INDEX(PT_DIFFERENTIATION_NUM_TER,MATCH(B114,PT_DIFFERENTIATION_TER_ID,0))</f>
        <v>1.5</v>
      </c>
      <c r="T114" s="4505" t="s">
        <v>529</v>
      </c>
      <c r="U114" s="4194"/>
      <c r="V114" s="3860"/>
      <c r="W114" s="3861"/>
      <c r="X114" s="3861"/>
      <c r="Y114" s="3861"/>
      <c r="Z114" s="3861"/>
      <c r="AA114" s="3861"/>
      <c r="AB114" s="3862"/>
      <c r="AC114" s="3860" t="str">
        <f>INDEX(PT_DIFFERENTIATION_TER,MATCH(B114,PT_DIFFERENTIATION_TER_ID,0))</f>
        <v>Территория 5</v>
      </c>
      <c r="AD114" s="3861"/>
      <c r="AE114" s="3861"/>
      <c r="AF114" s="3861"/>
      <c r="AG114" s="3861"/>
      <c r="AH114" s="3861"/>
      <c r="AI114" s="3861"/>
      <c r="AJ114" s="3860"/>
      <c r="AK114" s="3861"/>
      <c r="AL114" s="3861"/>
      <c r="AM114" s="3861"/>
      <c r="AN114" s="3861"/>
      <c r="AO114" s="3861"/>
      <c r="AP114" s="3862"/>
      <c r="AQ114" s="3860"/>
      <c r="AR114" s="3861"/>
      <c r="AS114" s="3861"/>
      <c r="AT114" s="3861"/>
      <c r="AU114" s="3861"/>
      <c r="AV114" s="3861"/>
      <c r="AW114" s="3862"/>
      <c r="AX114" s="3860"/>
      <c r="AY114" s="3861"/>
      <c r="AZ114" s="3861"/>
      <c r="BA114" s="3861"/>
      <c r="BB114" s="3861"/>
      <c r="BC114" s="3861"/>
      <c r="BD114" s="3862"/>
      <c r="BE114" s="3860"/>
      <c r="BF114" s="3861"/>
      <c r="BG114" s="3861"/>
      <c r="BH114" s="3861"/>
      <c r="BI114" s="3861"/>
      <c r="BJ114" s="3861"/>
      <c r="BK114" s="3862"/>
      <c r="BL114" s="3860"/>
      <c r="BM114" s="3861"/>
      <c r="BN114" s="3861"/>
      <c r="BO114" s="3861"/>
      <c r="BP114" s="3861"/>
      <c r="BQ114" s="3861"/>
      <c r="BR114" s="3862"/>
      <c r="BS114" s="3860"/>
      <c r="BT114" s="3861"/>
      <c r="BU114" s="3861"/>
      <c r="BV114" s="3861"/>
      <c r="BW114" s="3861"/>
      <c r="BX114" s="3861"/>
      <c r="BY114" s="3862"/>
      <c r="BZ114" s="3860"/>
      <c r="CA114" s="3861"/>
      <c r="CB114" s="3861"/>
      <c r="CC114" s="3861"/>
      <c r="CD114" s="3861"/>
      <c r="CE114" s="3861"/>
      <c r="CF114" s="3862"/>
      <c r="CG114" s="3860"/>
      <c r="CH114" s="3861"/>
      <c r="CI114" s="3861"/>
      <c r="CJ114" s="3861"/>
      <c r="CK114" s="3861"/>
      <c r="CL114" s="3861"/>
      <c r="CM114" s="3862"/>
      <c r="CN114" s="3860"/>
      <c r="CO114" s="3861"/>
      <c r="CP114" s="3861"/>
      <c r="CQ114" s="3861"/>
      <c r="CR114" s="3861"/>
      <c r="CS114" s="3861"/>
      <c r="CT114" s="3862"/>
      <c r="CU114" s="3862"/>
      <c r="CV114" s="4287" t="s">
        <v>530</v>
      </c>
      <c r="CW114" s="4093"/>
      <c r="CX114" s="4196"/>
      <c r="CY114" s="4196" t="str">
        <f>IF(T114="","",T114)</f>
        <v>Территория действия тарифа</v>
      </c>
      <c r="CZ114" s="4196"/>
      <c r="DA114" s="4196"/>
      <c r="DB114" s="3858">
        <v>0</v>
      </c>
    </row>
    <row s="5797" customFormat="1" customHeight="1" ht="23.25">
      <c r="A115" s="4183"/>
      <c r="B115" s="4183"/>
      <c r="C115" s="4183" t="s">
        <v>313</v>
      </c>
      <c r="D115" s="4183"/>
      <c r="E115" s="4184"/>
      <c r="F115" s="4184" t="s">
        <v>95</v>
      </c>
      <c r="G115" s="4500">
        <v>1</v>
      </c>
      <c r="H115" s="4183"/>
      <c r="I115" s="4183"/>
      <c r="J115" s="4183"/>
      <c r="K115" s="4183"/>
      <c r="L115" s="4187"/>
      <c r="M115" s="4501"/>
      <c r="N115" s="4501"/>
      <c r="O115" s="4501"/>
      <c r="P115" s="4507"/>
      <c r="Q115" s="4503"/>
      <c r="R115" s="4504"/>
      <c r="S115" s="4192" t="str">
        <f>INDEX(PT_DIFFERENTIATION_NUM_CS,MATCH(C115,PT_DIFFERENTIATION_CS_ID,0))</f>
        <v>1.5.1</v>
      </c>
      <c r="T115" s="4508" t="s">
        <v>610</v>
      </c>
      <c r="U115" s="4194"/>
      <c r="V115" s="3860"/>
      <c r="W115" s="3861"/>
      <c r="X115" s="3861"/>
      <c r="Y115" s="3861"/>
      <c r="Z115" s="3861"/>
      <c r="AA115" s="3861"/>
      <c r="AB115" s="3862"/>
      <c r="AC115" s="3860" t="str">
        <f>INDEX(PT_DIFFERENTIATION_CS,MATCH(C115,PT_DIFFERENTIATION_CS_ID,0))</f>
        <v>без дифференциации</v>
      </c>
      <c r="AD115" s="3861"/>
      <c r="AE115" s="3861"/>
      <c r="AF115" s="3861"/>
      <c r="AG115" s="3861"/>
      <c r="AH115" s="3861"/>
      <c r="AI115" s="3861"/>
      <c r="AJ115" s="3860"/>
      <c r="AK115" s="3861"/>
      <c r="AL115" s="3861"/>
      <c r="AM115" s="3861"/>
      <c r="AN115" s="3861"/>
      <c r="AO115" s="3861"/>
      <c r="AP115" s="3862"/>
      <c r="AQ115" s="3860"/>
      <c r="AR115" s="3861"/>
      <c r="AS115" s="3861"/>
      <c r="AT115" s="3861"/>
      <c r="AU115" s="3861"/>
      <c r="AV115" s="3861"/>
      <c r="AW115" s="3862"/>
      <c r="AX115" s="3860"/>
      <c r="AY115" s="3861"/>
      <c r="AZ115" s="3861"/>
      <c r="BA115" s="3861"/>
      <c r="BB115" s="3861"/>
      <c r="BC115" s="3861"/>
      <c r="BD115" s="3862"/>
      <c r="BE115" s="3860"/>
      <c r="BF115" s="3861"/>
      <c r="BG115" s="3861"/>
      <c r="BH115" s="3861"/>
      <c r="BI115" s="3861"/>
      <c r="BJ115" s="3861"/>
      <c r="BK115" s="3862"/>
      <c r="BL115" s="3860"/>
      <c r="BM115" s="3861"/>
      <c r="BN115" s="3861"/>
      <c r="BO115" s="3861"/>
      <c r="BP115" s="3861"/>
      <c r="BQ115" s="3861"/>
      <c r="BR115" s="3862"/>
      <c r="BS115" s="3860"/>
      <c r="BT115" s="3861"/>
      <c r="BU115" s="3861"/>
      <c r="BV115" s="3861"/>
      <c r="BW115" s="3861"/>
      <c r="BX115" s="3861"/>
      <c r="BY115" s="3862"/>
      <c r="BZ115" s="3860"/>
      <c r="CA115" s="3861"/>
      <c r="CB115" s="3861"/>
      <c r="CC115" s="3861"/>
      <c r="CD115" s="3861"/>
      <c r="CE115" s="3861"/>
      <c r="CF115" s="3862"/>
      <c r="CG115" s="3860"/>
      <c r="CH115" s="3861"/>
      <c r="CI115" s="3861"/>
      <c r="CJ115" s="3861"/>
      <c r="CK115" s="3861"/>
      <c r="CL115" s="3861"/>
      <c r="CM115" s="3862"/>
      <c r="CN115" s="3860"/>
      <c r="CO115" s="3861"/>
      <c r="CP115" s="3861"/>
      <c r="CQ115" s="3861"/>
      <c r="CR115" s="3861"/>
      <c r="CS115" s="3861"/>
      <c r="CT115" s="3862"/>
      <c r="CU115" s="3862"/>
      <c r="CV115" s="4287" t="s">
        <v>611</v>
      </c>
      <c r="CW115" s="4093"/>
      <c r="CX115" s="4196"/>
      <c r="CY115" s="4196" t="str">
        <f>IF(T115="","",T115)</f>
        <v>Наименование централизованной системы холодного водоснабжения</v>
      </c>
      <c r="CZ115" s="4196"/>
      <c r="DA115" s="4196"/>
      <c r="DB115" s="3858">
        <v>0</v>
      </c>
    </row>
    <row s="5798" customFormat="1" customHeight="1" ht="23.25">
      <c r="A116" s="4183"/>
      <c r="B116" s="4183"/>
      <c r="C116" s="4183"/>
      <c r="D116" s="4183"/>
      <c r="E116" s="4184"/>
      <c r="F116" s="4184" t="s">
        <v>95</v>
      </c>
      <c r="G116" s="4184"/>
      <c r="H116" s="4184"/>
      <c r="I116" s="4186" t="str">
        <f>S115&amp;".1"</f>
        <v>1.5.1.1</v>
      </c>
      <c r="J116" s="4183"/>
      <c r="K116" s="4183"/>
      <c r="L116" s="4187"/>
      <c r="M116" s="4188"/>
      <c r="N116" s="4188"/>
      <c r="O116" s="4188"/>
      <c r="P116" s="4189">
        <v>1</v>
      </c>
      <c r="Q116" s="4189"/>
      <c r="R116" s="4205"/>
      <c r="S116" s="4192" t="str">
        <f>$I116</f>
        <v>1.5.1.1</v>
      </c>
      <c r="T116" s="4510" t="s">
        <v>612</v>
      </c>
      <c r="U116" s="4194"/>
      <c r="V116" s="3870"/>
      <c r="W116" s="3871"/>
      <c r="X116" s="3871"/>
      <c r="Y116" s="3871"/>
      <c r="Z116" s="3871"/>
      <c r="AA116" s="3871"/>
      <c r="AB116" s="3872"/>
      <c r="AC116" s="4511"/>
      <c r="AD116" s="4512"/>
      <c r="AE116" s="4512"/>
      <c r="AF116" s="4512"/>
      <c r="AG116" s="4512"/>
      <c r="AH116" s="4512"/>
      <c r="AI116" s="4512"/>
      <c r="AJ116" s="3870"/>
      <c r="AK116" s="3871"/>
      <c r="AL116" s="3871"/>
      <c r="AM116" s="3871"/>
      <c r="AN116" s="3871"/>
      <c r="AO116" s="3871"/>
      <c r="AP116" s="3872"/>
      <c r="AQ116" s="3870"/>
      <c r="AR116" s="3871"/>
      <c r="AS116" s="3871"/>
      <c r="AT116" s="3871"/>
      <c r="AU116" s="3871"/>
      <c r="AV116" s="3871"/>
      <c r="AW116" s="3872"/>
      <c r="AX116" s="3870"/>
      <c r="AY116" s="3871"/>
      <c r="AZ116" s="3871"/>
      <c r="BA116" s="3871"/>
      <c r="BB116" s="3871"/>
      <c r="BC116" s="3871"/>
      <c r="BD116" s="3872"/>
      <c r="BE116" s="3870"/>
      <c r="BF116" s="3871"/>
      <c r="BG116" s="3871"/>
      <c r="BH116" s="3871"/>
      <c r="BI116" s="3871"/>
      <c r="BJ116" s="3871"/>
      <c r="BK116" s="3872"/>
      <c r="BL116" s="3870"/>
      <c r="BM116" s="3871"/>
      <c r="BN116" s="3871"/>
      <c r="BO116" s="3871"/>
      <c r="BP116" s="3871"/>
      <c r="BQ116" s="3871"/>
      <c r="BR116" s="3872"/>
      <c r="BS116" s="3870"/>
      <c r="BT116" s="3871"/>
      <c r="BU116" s="3871"/>
      <c r="BV116" s="3871"/>
      <c r="BW116" s="3871"/>
      <c r="BX116" s="3871"/>
      <c r="BY116" s="3872"/>
      <c r="BZ116" s="3870"/>
      <c r="CA116" s="3871"/>
      <c r="CB116" s="3871"/>
      <c r="CC116" s="3871"/>
      <c r="CD116" s="3871"/>
      <c r="CE116" s="3871"/>
      <c r="CF116" s="3872"/>
      <c r="CG116" s="3870"/>
      <c r="CH116" s="3871"/>
      <c r="CI116" s="3871"/>
      <c r="CJ116" s="3871"/>
      <c r="CK116" s="3871"/>
      <c r="CL116" s="3871"/>
      <c r="CM116" s="3872"/>
      <c r="CN116" s="3870"/>
      <c r="CO116" s="3871"/>
      <c r="CP116" s="3871"/>
      <c r="CQ116" s="3871"/>
      <c r="CR116" s="3871"/>
      <c r="CS116" s="3871"/>
      <c r="CT116" s="3872"/>
      <c r="CU116" s="4513"/>
      <c r="CV116" s="4287" t="s">
        <v>613</v>
      </c>
      <c r="CW116" s="4093"/>
      <c r="CX116" s="4196"/>
      <c r="CY116" s="4196" t="str">
        <f>IF(T116="","",T116)</f>
        <v>Наименование признака дифференциации</v>
      </c>
      <c r="CZ116" s="4196"/>
      <c r="DA116" s="4196"/>
      <c r="DB116" s="3858">
        <v>0</v>
      </c>
    </row>
    <row s="5799" customFormat="1" customHeight="1" ht="23.25">
      <c r="A117" s="4183"/>
      <c r="B117" s="4183"/>
      <c r="C117" s="4183"/>
      <c r="D117" s="4183"/>
      <c r="E117" s="4184"/>
      <c r="F117" s="4184" t="s">
        <v>95</v>
      </c>
      <c r="G117" s="4184"/>
      <c r="H117" s="4184"/>
      <c r="I117" s="4185"/>
      <c r="J117" s="4186" t="str">
        <f>I116&amp;".1"</f>
        <v>1.5.1.1.1</v>
      </c>
      <c r="K117" s="4183"/>
      <c r="L117" s="4187" t="s">
        <v>538</v>
      </c>
      <c r="M117" s="4188"/>
      <c r="N117" s="4188"/>
      <c r="O117" s="4188"/>
      <c r="P117" s="4189"/>
      <c r="Q117" s="4189">
        <v>1</v>
      </c>
      <c r="R117" s="4191"/>
      <c r="S117" s="4192" t="str">
        <f>$J117</f>
        <v>1.5.1.1.1</v>
      </c>
      <c r="T117" s="4193" t="s">
        <v>539</v>
      </c>
      <c r="U117" s="4194"/>
      <c r="V117" s="3874"/>
      <c r="W117" s="3875"/>
      <c r="X117" s="3875"/>
      <c r="Y117" s="3875"/>
      <c r="Z117" s="3875"/>
      <c r="AA117" s="3875"/>
      <c r="AB117" s="3876"/>
      <c r="AC117" s="3874" t="s">
        <v>625</v>
      </c>
      <c r="AD117" s="3875"/>
      <c r="AE117" s="3875"/>
      <c r="AF117" s="3875"/>
      <c r="AG117" s="3875"/>
      <c r="AH117" s="3875"/>
      <c r="AI117" s="3875"/>
      <c r="AJ117" s="3874"/>
      <c r="AK117" s="3875"/>
      <c r="AL117" s="3875"/>
      <c r="AM117" s="3875"/>
      <c r="AN117" s="3875"/>
      <c r="AO117" s="3875"/>
      <c r="AP117" s="3876"/>
      <c r="AQ117" s="3874"/>
      <c r="AR117" s="3875"/>
      <c r="AS117" s="3875"/>
      <c r="AT117" s="3875"/>
      <c r="AU117" s="3875"/>
      <c r="AV117" s="3875"/>
      <c r="AW117" s="3876"/>
      <c r="AX117" s="3874"/>
      <c r="AY117" s="3875"/>
      <c r="AZ117" s="3875"/>
      <c r="BA117" s="3875"/>
      <c r="BB117" s="3875"/>
      <c r="BC117" s="3875"/>
      <c r="BD117" s="3876"/>
      <c r="BE117" s="3874"/>
      <c r="BF117" s="3875"/>
      <c r="BG117" s="3875"/>
      <c r="BH117" s="3875"/>
      <c r="BI117" s="3875"/>
      <c r="BJ117" s="3875"/>
      <c r="BK117" s="3876"/>
      <c r="BL117" s="3874"/>
      <c r="BM117" s="3875"/>
      <c r="BN117" s="3875"/>
      <c r="BO117" s="3875"/>
      <c r="BP117" s="3875"/>
      <c r="BQ117" s="3875"/>
      <c r="BR117" s="3876"/>
      <c r="BS117" s="3874"/>
      <c r="BT117" s="3875"/>
      <c r="BU117" s="3875"/>
      <c r="BV117" s="3875"/>
      <c r="BW117" s="3875"/>
      <c r="BX117" s="3875"/>
      <c r="BY117" s="3876"/>
      <c r="BZ117" s="3874"/>
      <c r="CA117" s="3875"/>
      <c r="CB117" s="3875"/>
      <c r="CC117" s="3875"/>
      <c r="CD117" s="3875"/>
      <c r="CE117" s="3875"/>
      <c r="CF117" s="3876"/>
      <c r="CG117" s="3874"/>
      <c r="CH117" s="3875"/>
      <c r="CI117" s="3875"/>
      <c r="CJ117" s="3875"/>
      <c r="CK117" s="3875"/>
      <c r="CL117" s="3875"/>
      <c r="CM117" s="3876"/>
      <c r="CN117" s="3874"/>
      <c r="CO117" s="3875"/>
      <c r="CP117" s="3875"/>
      <c r="CQ117" s="3875"/>
      <c r="CR117" s="3875"/>
      <c r="CS117" s="3875"/>
      <c r="CT117" s="3876"/>
      <c r="CU117" s="3876"/>
      <c r="CV117" s="4195" t="s">
        <v>614</v>
      </c>
      <c r="CW117" s="4093"/>
      <c r="CX117" s="4196"/>
      <c r="CY117" s="4196" t="str">
        <f>IF(T117="","",T117)</f>
        <v>Группа потребителей</v>
      </c>
      <c r="CZ117" s="4196"/>
      <c r="DA117" s="4196"/>
      <c r="DB117" s="3858">
        <v>0</v>
      </c>
    </row>
    <row s="5800" customFormat="1" customHeight="1" ht="23.25">
      <c r="A118" s="4183"/>
      <c r="B118" s="4183"/>
      <c r="C118" s="4183"/>
      <c r="D118" s="4183"/>
      <c r="E118" s="4184"/>
      <c r="F118" s="4184" t="s">
        <v>95</v>
      </c>
      <c r="G118" s="4184"/>
      <c r="H118" s="4184"/>
      <c r="I118" s="4185"/>
      <c r="J118" s="4185"/>
      <c r="K118" s="4186" t="str">
        <f>J117&amp;".1"</f>
        <v>1.5.1.1.1.1</v>
      </c>
      <c r="L118" s="4187"/>
      <c r="M118" s="4188"/>
      <c r="N118" s="4188"/>
      <c r="O118" s="4188"/>
      <c r="P118" s="4189"/>
      <c r="Q118" s="4189"/>
      <c r="R118" s="4191">
        <v>1</v>
      </c>
      <c r="S118" s="4192" t="str">
        <f>$K118</f>
        <v>1.5.1.1.1.1</v>
      </c>
      <c r="T118" s="4198"/>
      <c r="U118" s="4194"/>
      <c r="V118" s="3878"/>
      <c r="W118" s="3878"/>
      <c r="X118" s="3879"/>
      <c r="Y118" s="3880"/>
      <c r="Z118" s="3881" t="s">
        <v>65</v>
      </c>
      <c r="AA118" s="3880"/>
      <c r="AB118" s="3881" t="s">
        <v>65</v>
      </c>
      <c r="AC118" s="3878">
        <v>51.99</v>
      </c>
      <c r="AD118" s="3878"/>
      <c r="AE118" s="3879"/>
      <c r="AF118" s="3880">
        <v>45292</v>
      </c>
      <c r="AG118" s="3881" t="s">
        <v>65</v>
      </c>
      <c r="AH118" s="4116">
        <v>45473</v>
      </c>
      <c r="AI118" s="3881" t="s">
        <v>65</v>
      </c>
      <c r="AJ118" s="3878">
        <v>54.69</v>
      </c>
      <c r="AK118" s="3878"/>
      <c r="AL118" s="3879"/>
      <c r="AM118" s="3880">
        <v>45474</v>
      </c>
      <c r="AN118" s="3881" t="s">
        <v>65</v>
      </c>
      <c r="AO118" s="3880">
        <v>45657</v>
      </c>
      <c r="AP118" s="3881" t="s">
        <v>65</v>
      </c>
      <c r="AQ118" s="3878">
        <v>54.69</v>
      </c>
      <c r="AR118" s="3878"/>
      <c r="AS118" s="3879"/>
      <c r="AT118" s="3880">
        <v>45658</v>
      </c>
      <c r="AU118" s="3881" t="s">
        <v>65</v>
      </c>
      <c r="AV118" s="3880">
        <v>45838</v>
      </c>
      <c r="AW118" s="3881" t="s">
        <v>65</v>
      </c>
      <c r="AX118" s="3878">
        <v>60.3</v>
      </c>
      <c r="AY118" s="3878"/>
      <c r="AZ118" s="3879"/>
      <c r="BA118" s="3880">
        <v>45839</v>
      </c>
      <c r="BB118" s="3881" t="s">
        <v>65</v>
      </c>
      <c r="BC118" s="3880">
        <v>46022</v>
      </c>
      <c r="BD118" s="3881" t="s">
        <v>65</v>
      </c>
      <c r="BE118" s="3878">
        <v>57.81</v>
      </c>
      <c r="BF118" s="3878"/>
      <c r="BG118" s="3879"/>
      <c r="BH118" s="3880">
        <v>46023</v>
      </c>
      <c r="BI118" s="3881" t="s">
        <v>65</v>
      </c>
      <c r="BJ118" s="3880">
        <v>46203</v>
      </c>
      <c r="BK118" s="3881" t="s">
        <v>65</v>
      </c>
      <c r="BL118" s="3878">
        <v>60.12</v>
      </c>
      <c r="BM118" s="3878"/>
      <c r="BN118" s="3879"/>
      <c r="BO118" s="3880">
        <v>46204</v>
      </c>
      <c r="BP118" s="3881" t="s">
        <v>65</v>
      </c>
      <c r="BQ118" s="3880">
        <v>46387</v>
      </c>
      <c r="BR118" s="3881" t="s">
        <v>65</v>
      </c>
      <c r="BS118" s="3878">
        <v>60.12</v>
      </c>
      <c r="BT118" s="3878"/>
      <c r="BU118" s="3879"/>
      <c r="BV118" s="3880">
        <v>46388</v>
      </c>
      <c r="BW118" s="3881" t="s">
        <v>65</v>
      </c>
      <c r="BX118" s="3880">
        <v>46568</v>
      </c>
      <c r="BY118" s="3881" t="s">
        <v>65</v>
      </c>
      <c r="BZ118" s="3878">
        <v>62.52</v>
      </c>
      <c r="CA118" s="3878"/>
      <c r="CB118" s="3879"/>
      <c r="CC118" s="3880">
        <v>46569</v>
      </c>
      <c r="CD118" s="3881" t="s">
        <v>65</v>
      </c>
      <c r="CE118" s="3880">
        <v>46752</v>
      </c>
      <c r="CF118" s="3881" t="s">
        <v>65</v>
      </c>
      <c r="CG118" s="3878">
        <v>62.52</v>
      </c>
      <c r="CH118" s="3878"/>
      <c r="CI118" s="3879"/>
      <c r="CJ118" s="3880">
        <v>46753</v>
      </c>
      <c r="CK118" s="3881" t="s">
        <v>65</v>
      </c>
      <c r="CL118" s="3880">
        <v>46934</v>
      </c>
      <c r="CM118" s="3881" t="s">
        <v>65</v>
      </c>
      <c r="CN118" s="3878">
        <v>65.02</v>
      </c>
      <c r="CO118" s="3878"/>
      <c r="CP118" s="3879"/>
      <c r="CQ118" s="3880">
        <v>46935</v>
      </c>
      <c r="CR118" s="3881" t="s">
        <v>65</v>
      </c>
      <c r="CS118" s="3880">
        <v>47118</v>
      </c>
      <c r="CT118" s="3881" t="s">
        <v>65</v>
      </c>
      <c r="CU118" s="4199"/>
      <c r="CV11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18" s="4093">
        <f>STRCHECKDATE(V119:CU119)</f>
      </c>
      <c r="CX118" s="4196"/>
      <c r="CY118" s="4196" t="str">
        <f>IF(T118="","",T118)</f>
        <v/>
      </c>
      <c r="CZ118" s="4196"/>
      <c r="DA118" s="4196"/>
      <c r="DB118" s="3858">
        <v>0</v>
      </c>
    </row>
    <row s="5801" customFormat="1" customHeight="1" ht="14.25">
      <c r="A119" s="4183"/>
      <c r="B119" s="4183"/>
      <c r="C119" s="4183"/>
      <c r="D119" s="4183"/>
      <c r="E119" s="4184"/>
      <c r="F119" s="4184" t="s">
        <v>95</v>
      </c>
      <c r="G119" s="4184"/>
      <c r="H119" s="4184"/>
      <c r="I119" s="4185"/>
      <c r="J119" s="4185"/>
      <c r="K119" s="4186"/>
      <c r="L119" s="4187"/>
      <c r="M119" s="4188"/>
      <c r="N119" s="4188"/>
      <c r="O119" s="4188"/>
      <c r="P119" s="4189"/>
      <c r="Q119" s="4189"/>
      <c r="R119" s="4191"/>
      <c r="S119" s="4202"/>
      <c r="T119" s="4194"/>
      <c r="U119" s="4194"/>
      <c r="V119" s="3885"/>
      <c r="W119" s="3885"/>
      <c r="X119" s="3886" t="str">
        <f>Y118&amp;"-"&amp;AA118</f>
        <v>-</v>
      </c>
      <c r="Y119" s="3887"/>
      <c r="Z119" s="3881"/>
      <c r="AA119" s="3887"/>
      <c r="AB119" s="3881"/>
      <c r="AC119" s="3885"/>
      <c r="AD119" s="3885"/>
      <c r="AE119" s="3886" t="str">
        <f>AF118&amp;"-"&amp;AH118</f>
        <v>45292-45473</v>
      </c>
      <c r="AF119" s="3887"/>
      <c r="AG119" s="3881"/>
      <c r="AH119" s="4118"/>
      <c r="AI119" s="3881"/>
      <c r="AJ119" s="3885"/>
      <c r="AK119" s="3885"/>
      <c r="AL119" s="3886" t="str">
        <f>AM118&amp;"-"&amp;AO118</f>
        <v>45474-45657</v>
      </c>
      <c r="AM119" s="3887"/>
      <c r="AN119" s="3881"/>
      <c r="AO119" s="3887"/>
      <c r="AP119" s="3881"/>
      <c r="AQ119" s="3885"/>
      <c r="AR119" s="3885"/>
      <c r="AS119" s="3886" t="str">
        <f>AT118&amp;"-"&amp;AV118</f>
        <v>45658-45838</v>
      </c>
      <c r="AT119" s="3887"/>
      <c r="AU119" s="3881"/>
      <c r="AV119" s="3887"/>
      <c r="AW119" s="3881"/>
      <c r="AX119" s="3885"/>
      <c r="AY119" s="3885"/>
      <c r="AZ119" s="3886" t="str">
        <f>BA118&amp;"-"&amp;BC118</f>
        <v>45839-46022</v>
      </c>
      <c r="BA119" s="3887"/>
      <c r="BB119" s="3881"/>
      <c r="BC119" s="3887"/>
      <c r="BD119" s="3881"/>
      <c r="BE119" s="3885"/>
      <c r="BF119" s="3885"/>
      <c r="BG119" s="3886" t="str">
        <f>BH118&amp;"-"&amp;BJ118</f>
        <v>46023-46203</v>
      </c>
      <c r="BH119" s="3887"/>
      <c r="BI119" s="3881"/>
      <c r="BJ119" s="3887"/>
      <c r="BK119" s="3881"/>
      <c r="BL119" s="3885"/>
      <c r="BM119" s="3885"/>
      <c r="BN119" s="3886" t="str">
        <f>BO118&amp;"-"&amp;BQ118</f>
        <v>46204-46387</v>
      </c>
      <c r="BO119" s="3887"/>
      <c r="BP119" s="3881"/>
      <c r="BQ119" s="3887"/>
      <c r="BR119" s="3881"/>
      <c r="BS119" s="3885"/>
      <c r="BT119" s="3885"/>
      <c r="BU119" s="3886" t="str">
        <f>BV118&amp;"-"&amp;BX118</f>
        <v>46388-46568</v>
      </c>
      <c r="BV119" s="3887"/>
      <c r="BW119" s="3881"/>
      <c r="BX119" s="3887"/>
      <c r="BY119" s="3881"/>
      <c r="BZ119" s="3885"/>
      <c r="CA119" s="3885"/>
      <c r="CB119" s="3886" t="str">
        <f>CC118&amp;"-"&amp;CE118</f>
        <v>46569-46752</v>
      </c>
      <c r="CC119" s="3887"/>
      <c r="CD119" s="3881"/>
      <c r="CE119" s="3887"/>
      <c r="CF119" s="3881"/>
      <c r="CG119" s="3885"/>
      <c r="CH119" s="3885"/>
      <c r="CI119" s="3886" t="str">
        <f>CJ118&amp;"-"&amp;CL118</f>
        <v>46753-46934</v>
      </c>
      <c r="CJ119" s="3887"/>
      <c r="CK119" s="3881"/>
      <c r="CL119" s="3887"/>
      <c r="CM119" s="3881"/>
      <c r="CN119" s="3885"/>
      <c r="CO119" s="3885"/>
      <c r="CP119" s="3886" t="str">
        <f>CQ118&amp;"-"&amp;CS118</f>
        <v>46935-47118</v>
      </c>
      <c r="CQ119" s="3887"/>
      <c r="CR119" s="3881"/>
      <c r="CS119" s="3887"/>
      <c r="CT119" s="3881"/>
      <c r="CU119" s="4203"/>
      <c r="CV119" s="4200"/>
      <c r="CW119" s="4093"/>
      <c r="CX119" s="4196"/>
      <c r="CY119" s="4196" t="str">
        <f>IF(T119="","",T119)</f>
        <v/>
      </c>
      <c r="CZ119" s="4196"/>
      <c r="DA119" s="4196"/>
      <c r="DB119" s="3858">
        <v>0</v>
      </c>
    </row>
    <row s="5802" customFormat="1" customHeight="1" ht="21">
      <c r="A120" s="4183"/>
      <c r="B120" s="4183"/>
      <c r="C120" s="4183"/>
      <c r="D120" s="4183"/>
      <c r="E120" s="4184"/>
      <c r="F120" s="4184" t="s">
        <v>95</v>
      </c>
      <c r="G120" s="4184"/>
      <c r="H120" s="4184"/>
      <c r="I120" s="4185"/>
      <c r="J120" s="4186"/>
      <c r="K120" s="4183"/>
      <c r="L120" s="4187"/>
      <c r="M120" s="4188"/>
      <c r="N120" s="4188"/>
      <c r="O120" s="4188"/>
      <c r="P120" s="4189"/>
      <c r="Q120" s="4189"/>
      <c r="R120" s="4205"/>
      <c r="S120" s="5803"/>
      <c r="T120" s="5804" t="s">
        <v>615</v>
      </c>
      <c r="U120" s="5805"/>
      <c r="V120" s="5806"/>
      <c r="W120" s="5807"/>
      <c r="X120" s="5808"/>
      <c r="Y120" s="5809"/>
      <c r="Z120" s="5810"/>
      <c r="AA120" s="5811"/>
      <c r="AB120" s="5812"/>
      <c r="AC120" s="5813"/>
      <c r="AD120" s="5814"/>
      <c r="AE120" s="5815"/>
      <c r="AF120" s="5816"/>
      <c r="AG120" s="5817"/>
      <c r="AH120" s="5818"/>
      <c r="AI120" s="5819"/>
      <c r="AJ120" s="5820"/>
      <c r="AK120" s="5821"/>
      <c r="AL120" s="5822"/>
      <c r="AM120" s="5823"/>
      <c r="AN120" s="5824"/>
      <c r="AO120" s="5825"/>
      <c r="AP120" s="5826"/>
      <c r="AQ120" s="5827"/>
      <c r="AR120" s="5828"/>
      <c r="AS120" s="5829"/>
      <c r="AT120" s="5830"/>
      <c r="AU120" s="5831"/>
      <c r="AV120" s="5832"/>
      <c r="AW120" s="5833"/>
      <c r="AX120" s="5834"/>
      <c r="AY120" s="5835"/>
      <c r="AZ120" s="5836"/>
      <c r="BA120" s="5837"/>
      <c r="BB120" s="5838"/>
      <c r="BC120" s="5839"/>
      <c r="BD120" s="5840"/>
      <c r="BE120" s="5841"/>
      <c r="BF120" s="5842"/>
      <c r="BG120" s="5843"/>
      <c r="BH120" s="5844"/>
      <c r="BI120" s="5845"/>
      <c r="BJ120" s="5846"/>
      <c r="BK120" s="5847"/>
      <c r="BL120" s="5848"/>
      <c r="BM120" s="5849"/>
      <c r="BN120" s="5850"/>
      <c r="BO120" s="5851"/>
      <c r="BP120" s="5852"/>
      <c r="BQ120" s="5853"/>
      <c r="BR120" s="5854"/>
      <c r="BS120" s="5855"/>
      <c r="BT120" s="5856"/>
      <c r="BU120" s="5857"/>
      <c r="BV120" s="5858"/>
      <c r="BW120" s="5859"/>
      <c r="BX120" s="5860"/>
      <c r="BY120" s="5861"/>
      <c r="BZ120" s="5862"/>
      <c r="CA120" s="5863"/>
      <c r="CB120" s="5864"/>
      <c r="CC120" s="5865"/>
      <c r="CD120" s="5866"/>
      <c r="CE120" s="5867"/>
      <c r="CF120" s="5868"/>
      <c r="CG120" s="5869"/>
      <c r="CH120" s="5870"/>
      <c r="CI120" s="5871"/>
      <c r="CJ120" s="5872"/>
      <c r="CK120" s="5873"/>
      <c r="CL120" s="5874"/>
      <c r="CM120" s="5875"/>
      <c r="CN120" s="5876"/>
      <c r="CO120" s="5877"/>
      <c r="CP120" s="5878"/>
      <c r="CQ120" s="5879"/>
      <c r="CR120" s="5880"/>
      <c r="CS120" s="5881"/>
      <c r="CT120" s="5882"/>
      <c r="CU120" s="5883"/>
      <c r="CV120" s="4287" t="s">
        <v>616</v>
      </c>
      <c r="CW120" s="4093"/>
      <c r="CX120" s="4196"/>
      <c r="CY120" s="4196" t="str">
        <f>IF(T120="","",T120)</f>
        <v>Добавить значение признака дифференциации</v>
      </c>
      <c r="CZ120" s="4196"/>
      <c r="DA120" s="4196"/>
      <c r="DB120" s="3858">
        <v>0</v>
      </c>
    </row>
    <row s="5884" customFormat="1" customHeight="1" ht="23.25">
      <c r="A121" s="4183"/>
      <c r="B121" s="4183"/>
      <c r="C121" s="4183"/>
      <c r="D121" s="4183"/>
      <c r="E121" s="4184"/>
      <c r="F121" s="4184"/>
      <c r="G121" s="4184"/>
      <c r="H121" s="4184"/>
      <c r="I121" s="4185"/>
      <c r="J121" s="4186" t="str">
        <f>I116&amp;".2"</f>
        <v>1.5.1.1.2</v>
      </c>
      <c r="K121" s="4183"/>
      <c r="L121" s="4187" t="s">
        <v>538</v>
      </c>
      <c r="M121" s="4188"/>
      <c r="N121" s="4188"/>
      <c r="O121" s="4188"/>
      <c r="P121" s="4189"/>
      <c r="Q121" s="4190" t="s">
        <v>109</v>
      </c>
      <c r="R121" s="4191"/>
      <c r="S121" s="4192" t="str">
        <f>$J121</f>
        <v>1.5.1.1.2</v>
      </c>
      <c r="T121" s="4193" t="s">
        <v>539</v>
      </c>
      <c r="U121" s="4194"/>
      <c r="V121" s="3874"/>
      <c r="W121" s="3875"/>
      <c r="X121" s="3875"/>
      <c r="Y121" s="3875"/>
      <c r="Z121" s="3875"/>
      <c r="AA121" s="3875"/>
      <c r="AB121" s="3876"/>
      <c r="AC121" s="3874" t="s">
        <v>626</v>
      </c>
      <c r="AD121" s="3875"/>
      <c r="AE121" s="3875"/>
      <c r="AF121" s="3875"/>
      <c r="AG121" s="3875"/>
      <c r="AH121" s="3875"/>
      <c r="AI121" s="3875"/>
      <c r="AJ121" s="3874"/>
      <c r="AK121" s="3875"/>
      <c r="AL121" s="3875"/>
      <c r="AM121" s="3875"/>
      <c r="AN121" s="3875"/>
      <c r="AO121" s="3875"/>
      <c r="AP121" s="3876"/>
      <c r="AQ121" s="3874"/>
      <c r="AR121" s="3875"/>
      <c r="AS121" s="3875"/>
      <c r="AT121" s="3875"/>
      <c r="AU121" s="3875"/>
      <c r="AV121" s="3875"/>
      <c r="AW121" s="3876"/>
      <c r="AX121" s="3874"/>
      <c r="AY121" s="3875"/>
      <c r="AZ121" s="3875"/>
      <c r="BA121" s="3875"/>
      <c r="BB121" s="3875"/>
      <c r="BC121" s="3875"/>
      <c r="BD121" s="3876"/>
      <c r="BE121" s="3874"/>
      <c r="BF121" s="3875"/>
      <c r="BG121" s="3875"/>
      <c r="BH121" s="3875"/>
      <c r="BI121" s="3875"/>
      <c r="BJ121" s="3875"/>
      <c r="BK121" s="3876"/>
      <c r="BL121" s="3874"/>
      <c r="BM121" s="3875"/>
      <c r="BN121" s="3875"/>
      <c r="BO121" s="3875"/>
      <c r="BP121" s="3875"/>
      <c r="BQ121" s="3875"/>
      <c r="BR121" s="3876"/>
      <c r="BS121" s="3874"/>
      <c r="BT121" s="3875"/>
      <c r="BU121" s="3875"/>
      <c r="BV121" s="3875"/>
      <c r="BW121" s="3875"/>
      <c r="BX121" s="3875"/>
      <c r="BY121" s="3876"/>
      <c r="BZ121" s="3874"/>
      <c r="CA121" s="3875"/>
      <c r="CB121" s="3875"/>
      <c r="CC121" s="3875"/>
      <c r="CD121" s="3875"/>
      <c r="CE121" s="3875"/>
      <c r="CF121" s="3876"/>
      <c r="CG121" s="3874"/>
      <c r="CH121" s="3875"/>
      <c r="CI121" s="3875"/>
      <c r="CJ121" s="3875"/>
      <c r="CK121" s="3875"/>
      <c r="CL121" s="3875"/>
      <c r="CM121" s="3876"/>
      <c r="CN121" s="3874"/>
      <c r="CO121" s="3875"/>
      <c r="CP121" s="3875"/>
      <c r="CQ121" s="3875"/>
      <c r="CR121" s="3875"/>
      <c r="CS121" s="3875"/>
      <c r="CT121" s="3876"/>
      <c r="CU121" s="3876"/>
      <c r="CV121" s="4195" t="s">
        <v>614</v>
      </c>
      <c r="CW121" s="4093"/>
      <c r="CX121" s="4196"/>
      <c r="CY121" s="4196" t="str">
        <f>IF(T121="","",T121)</f>
        <v>Группа потребителей</v>
      </c>
      <c r="CZ121" s="4196"/>
      <c r="DA121" s="4196"/>
      <c r="DB121" s="3858">
        <v>0</v>
      </c>
    </row>
    <row s="5885" customFormat="1" customHeight="1" ht="23.25">
      <c r="A122" s="4183"/>
      <c r="B122" s="4183"/>
      <c r="C122" s="4183"/>
      <c r="D122" s="4183"/>
      <c r="E122" s="4184"/>
      <c r="F122" s="4184"/>
      <c r="G122" s="4184"/>
      <c r="H122" s="4184"/>
      <c r="I122" s="4185"/>
      <c r="J122" s="4185" t="str">
        <f>I116&amp;".1"</f>
        <v>1.5.1.1.1</v>
      </c>
      <c r="K122" s="4186" t="str">
        <f>J121&amp;".1"</f>
        <v>1.5.1.1.2.1</v>
      </c>
      <c r="L122" s="4187"/>
      <c r="M122" s="4188"/>
      <c r="N122" s="4188"/>
      <c r="O122" s="4188"/>
      <c r="P122" s="4189"/>
      <c r="Q122" s="4189"/>
      <c r="R122" s="4191">
        <v>1</v>
      </c>
      <c r="S122" s="4192" t="str">
        <f>$K122</f>
        <v>1.5.1.1.2.1</v>
      </c>
      <c r="T122" s="4198"/>
      <c r="U122" s="4194"/>
      <c r="V122" s="3878"/>
      <c r="W122" s="3878"/>
      <c r="X122" s="3879"/>
      <c r="Y122" s="3880"/>
      <c r="Z122" s="3881" t="s">
        <v>65</v>
      </c>
      <c r="AA122" s="3880"/>
      <c r="AB122" s="3881" t="s">
        <v>65</v>
      </c>
      <c r="AC122" s="3878">
        <v>51.99</v>
      </c>
      <c r="AD122" s="3878"/>
      <c r="AE122" s="3879"/>
      <c r="AF122" s="3880">
        <v>45292</v>
      </c>
      <c r="AG122" s="3881" t="s">
        <v>65</v>
      </c>
      <c r="AH122" s="4116">
        <v>45473</v>
      </c>
      <c r="AI122" s="3881" t="s">
        <v>65</v>
      </c>
      <c r="AJ122" s="3878">
        <v>54.69</v>
      </c>
      <c r="AK122" s="3878"/>
      <c r="AL122" s="3879"/>
      <c r="AM122" s="3880">
        <v>45474</v>
      </c>
      <c r="AN122" s="3881" t="s">
        <v>65</v>
      </c>
      <c r="AO122" s="3880">
        <v>45657</v>
      </c>
      <c r="AP122" s="3881" t="s">
        <v>65</v>
      </c>
      <c r="AQ122" s="3878">
        <v>54.69</v>
      </c>
      <c r="AR122" s="3878"/>
      <c r="AS122" s="3879"/>
      <c r="AT122" s="3880">
        <v>45658</v>
      </c>
      <c r="AU122" s="3881" t="s">
        <v>65</v>
      </c>
      <c r="AV122" s="3880">
        <v>45838</v>
      </c>
      <c r="AW122" s="3881" t="s">
        <v>65</v>
      </c>
      <c r="AX122" s="3878">
        <v>57.43</v>
      </c>
      <c r="AY122" s="3878"/>
      <c r="AZ122" s="3879"/>
      <c r="BA122" s="3880">
        <v>45839</v>
      </c>
      <c r="BB122" s="3881" t="s">
        <v>65</v>
      </c>
      <c r="BC122" s="3880">
        <v>46022</v>
      </c>
      <c r="BD122" s="3881" t="s">
        <v>65</v>
      </c>
      <c r="BE122" s="3878">
        <v>62.55</v>
      </c>
      <c r="BF122" s="3878"/>
      <c r="BG122" s="3879"/>
      <c r="BH122" s="3880">
        <v>46023</v>
      </c>
      <c r="BI122" s="3881" t="s">
        <v>65</v>
      </c>
      <c r="BJ122" s="3880">
        <v>46203</v>
      </c>
      <c r="BK122" s="3881" t="s">
        <v>65</v>
      </c>
      <c r="BL122" s="3878">
        <v>68.84</v>
      </c>
      <c r="BM122" s="3878"/>
      <c r="BN122" s="3879"/>
      <c r="BO122" s="3880">
        <v>46204</v>
      </c>
      <c r="BP122" s="3881" t="s">
        <v>65</v>
      </c>
      <c r="BQ122" s="3880">
        <v>46387</v>
      </c>
      <c r="BR122" s="3881" t="s">
        <v>65</v>
      </c>
      <c r="BS122" s="3878">
        <v>68.84</v>
      </c>
      <c r="BT122" s="3878"/>
      <c r="BU122" s="3879"/>
      <c r="BV122" s="3880">
        <v>46388</v>
      </c>
      <c r="BW122" s="3881" t="s">
        <v>65</v>
      </c>
      <c r="BX122" s="3880">
        <v>46568</v>
      </c>
      <c r="BY122" s="3881" t="s">
        <v>65</v>
      </c>
      <c r="BZ122" s="3878">
        <v>74.46</v>
      </c>
      <c r="CA122" s="3878"/>
      <c r="CB122" s="3879"/>
      <c r="CC122" s="3880">
        <v>46569</v>
      </c>
      <c r="CD122" s="3881" t="s">
        <v>65</v>
      </c>
      <c r="CE122" s="3880">
        <v>46752</v>
      </c>
      <c r="CF122" s="3881" t="s">
        <v>65</v>
      </c>
      <c r="CG122" s="3878">
        <v>74.46</v>
      </c>
      <c r="CH122" s="3878"/>
      <c r="CI122" s="3879"/>
      <c r="CJ122" s="3880">
        <v>46753</v>
      </c>
      <c r="CK122" s="3881" t="s">
        <v>65</v>
      </c>
      <c r="CL122" s="3880">
        <v>46934</v>
      </c>
      <c r="CM122" s="3881" t="s">
        <v>65</v>
      </c>
      <c r="CN122" s="3878">
        <v>81.66</v>
      </c>
      <c r="CO122" s="3878"/>
      <c r="CP122" s="3879"/>
      <c r="CQ122" s="3880">
        <v>46935</v>
      </c>
      <c r="CR122" s="3881" t="s">
        <v>65</v>
      </c>
      <c r="CS122" s="3880">
        <v>47118</v>
      </c>
      <c r="CT122" s="3881" t="s">
        <v>65</v>
      </c>
      <c r="CU122" s="4199"/>
      <c r="CV12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2" s="4093">
        <f>STRCHECKDATE(V123:CU123)</f>
      </c>
      <c r="CX122" s="4196"/>
      <c r="CY122" s="4196" t="str">
        <f>IF(T122="","",T122)</f>
        <v/>
      </c>
      <c r="CZ122" s="4196"/>
      <c r="DA122" s="4196"/>
      <c r="DB122" s="3858">
        <v>0</v>
      </c>
    </row>
    <row s="5886" customFormat="1" customHeight="1" ht="14.25">
      <c r="A123" s="4183"/>
      <c r="B123" s="4183"/>
      <c r="C123" s="4183"/>
      <c r="D123" s="4183"/>
      <c r="E123" s="4184"/>
      <c r="F123" s="4184"/>
      <c r="G123" s="4184"/>
      <c r="H123" s="4184"/>
      <c r="I123" s="4185"/>
      <c r="J123" s="4185" t="str">
        <f>I116&amp;".1"</f>
        <v>1.5.1.1.1</v>
      </c>
      <c r="K123" s="4186"/>
      <c r="L123" s="4187"/>
      <c r="M123" s="4188"/>
      <c r="N123" s="4188"/>
      <c r="O123" s="4188"/>
      <c r="P123" s="4189"/>
      <c r="Q123" s="4189"/>
      <c r="R123" s="4191"/>
      <c r="S123" s="4202"/>
      <c r="T123" s="4194"/>
      <c r="U123" s="4194"/>
      <c r="V123" s="3885"/>
      <c r="W123" s="3885"/>
      <c r="X123" s="3886" t="str">
        <f>Y122&amp;"-"&amp;AA122</f>
        <v>-</v>
      </c>
      <c r="Y123" s="3887"/>
      <c r="Z123" s="3881"/>
      <c r="AA123" s="3887"/>
      <c r="AB123" s="3881"/>
      <c r="AC123" s="3885"/>
      <c r="AD123" s="3885"/>
      <c r="AE123" s="3886" t="str">
        <f>AF122&amp;"-"&amp;AH122</f>
        <v>45292-45473</v>
      </c>
      <c r="AF123" s="3887"/>
      <c r="AG123" s="3881"/>
      <c r="AH123" s="4118"/>
      <c r="AI123" s="3881"/>
      <c r="AJ123" s="3885"/>
      <c r="AK123" s="3885"/>
      <c r="AL123" s="3886" t="str">
        <f>AM122&amp;"-"&amp;AO122</f>
        <v>45474-45657</v>
      </c>
      <c r="AM123" s="3887"/>
      <c r="AN123" s="3881"/>
      <c r="AO123" s="3887"/>
      <c r="AP123" s="3881"/>
      <c r="AQ123" s="3885"/>
      <c r="AR123" s="3885"/>
      <c r="AS123" s="3886" t="str">
        <f>AT122&amp;"-"&amp;AV122</f>
        <v>45658-45838</v>
      </c>
      <c r="AT123" s="3887"/>
      <c r="AU123" s="3881"/>
      <c r="AV123" s="3887"/>
      <c r="AW123" s="3881"/>
      <c r="AX123" s="3885"/>
      <c r="AY123" s="3885"/>
      <c r="AZ123" s="3886" t="str">
        <f>BA122&amp;"-"&amp;BC122</f>
        <v>45839-46022</v>
      </c>
      <c r="BA123" s="3887"/>
      <c r="BB123" s="3881"/>
      <c r="BC123" s="3887"/>
      <c r="BD123" s="3881"/>
      <c r="BE123" s="3885"/>
      <c r="BF123" s="3885"/>
      <c r="BG123" s="3886" t="str">
        <f>BH122&amp;"-"&amp;BJ122</f>
        <v>46023-46203</v>
      </c>
      <c r="BH123" s="3887"/>
      <c r="BI123" s="3881"/>
      <c r="BJ123" s="3887"/>
      <c r="BK123" s="3881"/>
      <c r="BL123" s="3885"/>
      <c r="BM123" s="3885"/>
      <c r="BN123" s="3886" t="str">
        <f>BO122&amp;"-"&amp;BQ122</f>
        <v>46204-46387</v>
      </c>
      <c r="BO123" s="3887"/>
      <c r="BP123" s="3881"/>
      <c r="BQ123" s="3887"/>
      <c r="BR123" s="3881"/>
      <c r="BS123" s="3885"/>
      <c r="BT123" s="3885"/>
      <c r="BU123" s="3886" t="str">
        <f>BV122&amp;"-"&amp;BX122</f>
        <v>46388-46568</v>
      </c>
      <c r="BV123" s="3887"/>
      <c r="BW123" s="3881"/>
      <c r="BX123" s="3887"/>
      <c r="BY123" s="3881"/>
      <c r="BZ123" s="3885"/>
      <c r="CA123" s="3885"/>
      <c r="CB123" s="3886" t="str">
        <f>CC122&amp;"-"&amp;CE122</f>
        <v>46569-46752</v>
      </c>
      <c r="CC123" s="3887"/>
      <c r="CD123" s="3881"/>
      <c r="CE123" s="3887"/>
      <c r="CF123" s="3881"/>
      <c r="CG123" s="3885"/>
      <c r="CH123" s="3885"/>
      <c r="CI123" s="3886" t="str">
        <f>CJ122&amp;"-"&amp;CL122</f>
        <v>46753-46934</v>
      </c>
      <c r="CJ123" s="3887"/>
      <c r="CK123" s="3881"/>
      <c r="CL123" s="3887"/>
      <c r="CM123" s="3881"/>
      <c r="CN123" s="3885"/>
      <c r="CO123" s="3885"/>
      <c r="CP123" s="3886" t="str">
        <f>CQ122&amp;"-"&amp;CS122</f>
        <v>46935-47118</v>
      </c>
      <c r="CQ123" s="3887"/>
      <c r="CR123" s="3881"/>
      <c r="CS123" s="3887"/>
      <c r="CT123" s="3881"/>
      <c r="CU123" s="4203"/>
      <c r="CV123" s="4200"/>
      <c r="CW123" s="4093"/>
      <c r="CX123" s="4196"/>
      <c r="CY123" s="4196" t="str">
        <f>IF(T123="","",T123)</f>
        <v/>
      </c>
      <c r="CZ123" s="4196"/>
      <c r="DA123" s="4196"/>
      <c r="DB123" s="3858">
        <v>0</v>
      </c>
    </row>
    <row s="5887" customFormat="1" customHeight="1" ht="21">
      <c r="A124" s="4183"/>
      <c r="B124" s="4183"/>
      <c r="C124" s="4183"/>
      <c r="D124" s="4183"/>
      <c r="E124" s="4184"/>
      <c r="F124" s="4184"/>
      <c r="G124" s="4184"/>
      <c r="H124" s="4184"/>
      <c r="I124" s="4185"/>
      <c r="J124" s="4186" t="str">
        <f>I116&amp;".1"</f>
        <v>1.5.1.1.1</v>
      </c>
      <c r="K124" s="4183"/>
      <c r="L124" s="4187"/>
      <c r="M124" s="4188"/>
      <c r="N124" s="4188"/>
      <c r="O124" s="4188"/>
      <c r="P124" s="4189"/>
      <c r="Q124" s="4189"/>
      <c r="R124" s="4205"/>
      <c r="S124" s="5888"/>
      <c r="T124" s="5889" t="s">
        <v>615</v>
      </c>
      <c r="U124" s="5890"/>
      <c r="V124" s="5891"/>
      <c r="W124" s="5892"/>
      <c r="X124" s="5893"/>
      <c r="Y124" s="5894"/>
      <c r="Z124" s="5895"/>
      <c r="AA124" s="5896"/>
      <c r="AB124" s="5897"/>
      <c r="AC124" s="5898"/>
      <c r="AD124" s="5899"/>
      <c r="AE124" s="5900"/>
      <c r="AF124" s="5901"/>
      <c r="AG124" s="5902"/>
      <c r="AH124" s="5903"/>
      <c r="AI124" s="5904"/>
      <c r="AJ124" s="5905"/>
      <c r="AK124" s="5906"/>
      <c r="AL124" s="5907"/>
      <c r="AM124" s="5908"/>
      <c r="AN124" s="5909"/>
      <c r="AO124" s="5910"/>
      <c r="AP124" s="5911"/>
      <c r="AQ124" s="5912"/>
      <c r="AR124" s="5913"/>
      <c r="AS124" s="5914"/>
      <c r="AT124" s="5915"/>
      <c r="AU124" s="5916"/>
      <c r="AV124" s="5917"/>
      <c r="AW124" s="5918"/>
      <c r="AX124" s="5919"/>
      <c r="AY124" s="5920"/>
      <c r="AZ124" s="5921"/>
      <c r="BA124" s="5922"/>
      <c r="BB124" s="5923"/>
      <c r="BC124" s="5924"/>
      <c r="BD124" s="5925"/>
      <c r="BE124" s="5926"/>
      <c r="BF124" s="5927"/>
      <c r="BG124" s="5928"/>
      <c r="BH124" s="5929"/>
      <c r="BI124" s="5930"/>
      <c r="BJ124" s="5931"/>
      <c r="BK124" s="5932"/>
      <c r="BL124" s="5933"/>
      <c r="BM124" s="5934"/>
      <c r="BN124" s="5935"/>
      <c r="BO124" s="5936"/>
      <c r="BP124" s="5937"/>
      <c r="BQ124" s="5938"/>
      <c r="BR124" s="5939"/>
      <c r="BS124" s="5940"/>
      <c r="BT124" s="5941"/>
      <c r="BU124" s="5942"/>
      <c r="BV124" s="5943"/>
      <c r="BW124" s="5944"/>
      <c r="BX124" s="5945"/>
      <c r="BY124" s="5946"/>
      <c r="BZ124" s="5947"/>
      <c r="CA124" s="5948"/>
      <c r="CB124" s="5949"/>
      <c r="CC124" s="5950"/>
      <c r="CD124" s="5951"/>
      <c r="CE124" s="5952"/>
      <c r="CF124" s="5953"/>
      <c r="CG124" s="5954"/>
      <c r="CH124" s="5955"/>
      <c r="CI124" s="5956"/>
      <c r="CJ124" s="5957"/>
      <c r="CK124" s="5958"/>
      <c r="CL124" s="5959"/>
      <c r="CM124" s="5960"/>
      <c r="CN124" s="5961"/>
      <c r="CO124" s="5962"/>
      <c r="CP124" s="5963"/>
      <c r="CQ124" s="5964"/>
      <c r="CR124" s="5965"/>
      <c r="CS124" s="5966"/>
      <c r="CT124" s="5967"/>
      <c r="CU124" s="5968"/>
      <c r="CV124" s="4287" t="s">
        <v>616</v>
      </c>
      <c r="CW124" s="4093"/>
      <c r="CX124" s="4196"/>
      <c r="CY124" s="4196" t="str">
        <f>IF(T124="","",T124)</f>
        <v>Добавить значение признака дифференциации</v>
      </c>
      <c r="CZ124" s="4196"/>
      <c r="DA124" s="4196"/>
      <c r="DB124" s="3858">
        <v>0</v>
      </c>
    </row>
    <row s="5969" customFormat="1" customHeight="1" ht="23.25">
      <c r="A125" s="4183"/>
      <c r="B125" s="4183"/>
      <c r="C125" s="4183"/>
      <c r="D125" s="4183"/>
      <c r="E125" s="4184"/>
      <c r="F125" s="4184"/>
      <c r="G125" s="4184"/>
      <c r="H125" s="4184"/>
      <c r="I125" s="4185"/>
      <c r="J125" s="4186" t="str">
        <f>I116&amp;".3"</f>
        <v>1.5.1.1.3</v>
      </c>
      <c r="K125" s="4183"/>
      <c r="L125" s="4187" t="s">
        <v>538</v>
      </c>
      <c r="M125" s="4188"/>
      <c r="N125" s="4188"/>
      <c r="O125" s="4188"/>
      <c r="P125" s="4189"/>
      <c r="Q125" s="4190" t="s">
        <v>109</v>
      </c>
      <c r="R125" s="4191"/>
      <c r="S125" s="4192" t="str">
        <f>$J125</f>
        <v>1.5.1.1.3</v>
      </c>
      <c r="T125" s="4193" t="s">
        <v>539</v>
      </c>
      <c r="U125" s="4194"/>
      <c r="V125" s="3874"/>
      <c r="W125" s="3875"/>
      <c r="X125" s="3875"/>
      <c r="Y125" s="3875"/>
      <c r="Z125" s="3875"/>
      <c r="AA125" s="3875"/>
      <c r="AB125" s="3876"/>
      <c r="AC125" s="3874" t="s">
        <v>627</v>
      </c>
      <c r="AD125" s="3875"/>
      <c r="AE125" s="3875"/>
      <c r="AF125" s="3875"/>
      <c r="AG125" s="3875"/>
      <c r="AH125" s="3875"/>
      <c r="AI125" s="3875"/>
      <c r="AJ125" s="3874"/>
      <c r="AK125" s="3875"/>
      <c r="AL125" s="3875"/>
      <c r="AM125" s="3875"/>
      <c r="AN125" s="3875"/>
      <c r="AO125" s="3875"/>
      <c r="AP125" s="3876"/>
      <c r="AQ125" s="3874"/>
      <c r="AR125" s="3875"/>
      <c r="AS125" s="3875"/>
      <c r="AT125" s="3875"/>
      <c r="AU125" s="3875"/>
      <c r="AV125" s="3875"/>
      <c r="AW125" s="3876"/>
      <c r="AX125" s="3874"/>
      <c r="AY125" s="3875"/>
      <c r="AZ125" s="3875"/>
      <c r="BA125" s="3875"/>
      <c r="BB125" s="3875"/>
      <c r="BC125" s="3875"/>
      <c r="BD125" s="3876"/>
      <c r="BE125" s="3874"/>
      <c r="BF125" s="3875"/>
      <c r="BG125" s="3875"/>
      <c r="BH125" s="3875"/>
      <c r="BI125" s="3875"/>
      <c r="BJ125" s="3875"/>
      <c r="BK125" s="3876"/>
      <c r="BL125" s="3874"/>
      <c r="BM125" s="3875"/>
      <c r="BN125" s="3875"/>
      <c r="BO125" s="3875"/>
      <c r="BP125" s="3875"/>
      <c r="BQ125" s="3875"/>
      <c r="BR125" s="3876"/>
      <c r="BS125" s="3874"/>
      <c r="BT125" s="3875"/>
      <c r="BU125" s="3875"/>
      <c r="BV125" s="3875"/>
      <c r="BW125" s="3875"/>
      <c r="BX125" s="3875"/>
      <c r="BY125" s="3876"/>
      <c r="BZ125" s="3874"/>
      <c r="CA125" s="3875"/>
      <c r="CB125" s="3875"/>
      <c r="CC125" s="3875"/>
      <c r="CD125" s="3875"/>
      <c r="CE125" s="3875"/>
      <c r="CF125" s="3876"/>
      <c r="CG125" s="3874"/>
      <c r="CH125" s="3875"/>
      <c r="CI125" s="3875"/>
      <c r="CJ125" s="3875"/>
      <c r="CK125" s="3875"/>
      <c r="CL125" s="3875"/>
      <c r="CM125" s="3876"/>
      <c r="CN125" s="3874"/>
      <c r="CO125" s="3875"/>
      <c r="CP125" s="3875"/>
      <c r="CQ125" s="3875"/>
      <c r="CR125" s="3875"/>
      <c r="CS125" s="3875"/>
      <c r="CT125" s="3876"/>
      <c r="CU125" s="3876"/>
      <c r="CV125" s="4195" t="s">
        <v>614</v>
      </c>
      <c r="CW125" s="4093"/>
      <c r="CX125" s="4196"/>
      <c r="CY125" s="4196" t="str">
        <f>IF(T125="","",T125)</f>
        <v>Группа потребителей</v>
      </c>
      <c r="CZ125" s="4196"/>
      <c r="DA125" s="4196"/>
      <c r="DB125" s="3858">
        <v>0</v>
      </c>
    </row>
    <row s="5970" customFormat="1" customHeight="1" ht="23.25">
      <c r="A126" s="4183"/>
      <c r="B126" s="4183"/>
      <c r="C126" s="4183"/>
      <c r="D126" s="4183"/>
      <c r="E126" s="4184"/>
      <c r="F126" s="4184"/>
      <c r="G126" s="4184"/>
      <c r="H126" s="4184"/>
      <c r="I126" s="4185"/>
      <c r="J126" s="4185" t="str">
        <f>I116&amp;".2"</f>
        <v>1.5.1.1.2</v>
      </c>
      <c r="K126" s="4186" t="str">
        <f>J125&amp;".1"</f>
        <v>1.5.1.1.3.1</v>
      </c>
      <c r="L126" s="4187"/>
      <c r="M126" s="4188"/>
      <c r="N126" s="4188"/>
      <c r="O126" s="4188"/>
      <c r="P126" s="4189"/>
      <c r="Q126" s="4189"/>
      <c r="R126" s="4191">
        <v>1</v>
      </c>
      <c r="S126" s="4192" t="str">
        <f>$K126</f>
        <v>1.5.1.1.3.1</v>
      </c>
      <c r="T126" s="4198"/>
      <c r="U126" s="4194"/>
      <c r="V126" s="3878"/>
      <c r="W126" s="3878"/>
      <c r="X126" s="3879"/>
      <c r="Y126" s="3880"/>
      <c r="Z126" s="3881" t="s">
        <v>65</v>
      </c>
      <c r="AA126" s="3880"/>
      <c r="AB126" s="3881" t="s">
        <v>65</v>
      </c>
      <c r="AC126" s="3878">
        <v>51.99</v>
      </c>
      <c r="AD126" s="3878"/>
      <c r="AE126" s="3879"/>
      <c r="AF126" s="3880">
        <v>45292</v>
      </c>
      <c r="AG126" s="3881" t="s">
        <v>65</v>
      </c>
      <c r="AH126" s="4116">
        <v>45473</v>
      </c>
      <c r="AI126" s="3881" t="s">
        <v>65</v>
      </c>
      <c r="AJ126" s="3878">
        <v>54.69</v>
      </c>
      <c r="AK126" s="3878"/>
      <c r="AL126" s="3879"/>
      <c r="AM126" s="3880">
        <v>45474</v>
      </c>
      <c r="AN126" s="3881" t="s">
        <v>65</v>
      </c>
      <c r="AO126" s="3880">
        <v>45657</v>
      </c>
      <c r="AP126" s="3881" t="s">
        <v>65</v>
      </c>
      <c r="AQ126" s="3878">
        <v>54.69</v>
      </c>
      <c r="AR126" s="3878"/>
      <c r="AS126" s="3879"/>
      <c r="AT126" s="3880">
        <v>45658</v>
      </c>
      <c r="AU126" s="3881" t="s">
        <v>65</v>
      </c>
      <c r="AV126" s="3880">
        <v>45838</v>
      </c>
      <c r="AW126" s="3881" t="s">
        <v>65</v>
      </c>
      <c r="AX126" s="3878">
        <v>57.43</v>
      </c>
      <c r="AY126" s="3878"/>
      <c r="AZ126" s="3879"/>
      <c r="BA126" s="3880">
        <v>45839</v>
      </c>
      <c r="BB126" s="3881" t="s">
        <v>65</v>
      </c>
      <c r="BC126" s="3880">
        <v>46022</v>
      </c>
      <c r="BD126" s="3881" t="s">
        <v>65</v>
      </c>
      <c r="BE126" s="3878">
        <v>62.55</v>
      </c>
      <c r="BF126" s="3878"/>
      <c r="BG126" s="3879"/>
      <c r="BH126" s="3880">
        <v>46023</v>
      </c>
      <c r="BI126" s="3881" t="s">
        <v>65</v>
      </c>
      <c r="BJ126" s="3880">
        <v>46203</v>
      </c>
      <c r="BK126" s="3881" t="s">
        <v>65</v>
      </c>
      <c r="BL126" s="3878">
        <v>68.84</v>
      </c>
      <c r="BM126" s="3878"/>
      <c r="BN126" s="3879"/>
      <c r="BO126" s="3880">
        <v>46204</v>
      </c>
      <c r="BP126" s="3881" t="s">
        <v>65</v>
      </c>
      <c r="BQ126" s="3880">
        <v>46387</v>
      </c>
      <c r="BR126" s="3881" t="s">
        <v>65</v>
      </c>
      <c r="BS126" s="3878">
        <v>68.84</v>
      </c>
      <c r="BT126" s="3878"/>
      <c r="BU126" s="3879"/>
      <c r="BV126" s="3880">
        <v>46388</v>
      </c>
      <c r="BW126" s="3881" t="s">
        <v>65</v>
      </c>
      <c r="BX126" s="3880">
        <v>46568</v>
      </c>
      <c r="BY126" s="3881" t="s">
        <v>65</v>
      </c>
      <c r="BZ126" s="3878">
        <v>74.46</v>
      </c>
      <c r="CA126" s="3878"/>
      <c r="CB126" s="3879"/>
      <c r="CC126" s="3880">
        <v>46569</v>
      </c>
      <c r="CD126" s="3881" t="s">
        <v>65</v>
      </c>
      <c r="CE126" s="3880">
        <v>46752</v>
      </c>
      <c r="CF126" s="3881" t="s">
        <v>65</v>
      </c>
      <c r="CG126" s="3878">
        <v>74.46</v>
      </c>
      <c r="CH126" s="3878"/>
      <c r="CI126" s="3879"/>
      <c r="CJ126" s="3880">
        <v>46753</v>
      </c>
      <c r="CK126" s="3881" t="s">
        <v>65</v>
      </c>
      <c r="CL126" s="3880">
        <v>46934</v>
      </c>
      <c r="CM126" s="3881" t="s">
        <v>65</v>
      </c>
      <c r="CN126" s="3878">
        <v>81.66</v>
      </c>
      <c r="CO126" s="3878"/>
      <c r="CP126" s="3879"/>
      <c r="CQ126" s="3880">
        <v>46935</v>
      </c>
      <c r="CR126" s="3881" t="s">
        <v>65</v>
      </c>
      <c r="CS126" s="3880">
        <v>47118</v>
      </c>
      <c r="CT126" s="3881" t="s">
        <v>65</v>
      </c>
      <c r="CU126" s="4199"/>
      <c r="CV12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26" s="4093">
        <f>STRCHECKDATE(V127:CU127)</f>
      </c>
      <c r="CX126" s="4196"/>
      <c r="CY126" s="4196" t="str">
        <f>IF(T126="","",T126)</f>
        <v/>
      </c>
      <c r="CZ126" s="4196"/>
      <c r="DA126" s="4196"/>
      <c r="DB126" s="3858">
        <v>0</v>
      </c>
    </row>
    <row s="5971" customFormat="1" customHeight="1" ht="14.25">
      <c r="A127" s="4183"/>
      <c r="B127" s="4183"/>
      <c r="C127" s="4183"/>
      <c r="D127" s="4183"/>
      <c r="E127" s="4184"/>
      <c r="F127" s="4184"/>
      <c r="G127" s="4184"/>
      <c r="H127" s="4184"/>
      <c r="I127" s="4185"/>
      <c r="J127" s="4185" t="str">
        <f>I116&amp;".2"</f>
        <v>1.5.1.1.2</v>
      </c>
      <c r="K127" s="4186"/>
      <c r="L127" s="4187"/>
      <c r="M127" s="4188"/>
      <c r="N127" s="4188"/>
      <c r="O127" s="4188"/>
      <c r="P127" s="4189"/>
      <c r="Q127" s="4189"/>
      <c r="R127" s="4191"/>
      <c r="S127" s="4202"/>
      <c r="T127" s="4194"/>
      <c r="U127" s="4194"/>
      <c r="V127" s="3885"/>
      <c r="W127" s="3885"/>
      <c r="X127" s="3886" t="str">
        <f>Y126&amp;"-"&amp;AA126</f>
        <v>-</v>
      </c>
      <c r="Y127" s="3887"/>
      <c r="Z127" s="3881"/>
      <c r="AA127" s="3887"/>
      <c r="AB127" s="3881"/>
      <c r="AC127" s="3885"/>
      <c r="AD127" s="3885"/>
      <c r="AE127" s="3886" t="str">
        <f>AF126&amp;"-"&amp;AH126</f>
        <v>45292-45473</v>
      </c>
      <c r="AF127" s="3887"/>
      <c r="AG127" s="3881"/>
      <c r="AH127" s="4118"/>
      <c r="AI127" s="3881"/>
      <c r="AJ127" s="3885"/>
      <c r="AK127" s="3885"/>
      <c r="AL127" s="3886" t="str">
        <f>AM126&amp;"-"&amp;AO126</f>
        <v>45474-45657</v>
      </c>
      <c r="AM127" s="3887"/>
      <c r="AN127" s="3881"/>
      <c r="AO127" s="3887"/>
      <c r="AP127" s="3881"/>
      <c r="AQ127" s="3885"/>
      <c r="AR127" s="3885"/>
      <c r="AS127" s="3886" t="str">
        <f>AT126&amp;"-"&amp;AV126</f>
        <v>45658-45838</v>
      </c>
      <c r="AT127" s="3887"/>
      <c r="AU127" s="3881"/>
      <c r="AV127" s="3887"/>
      <c r="AW127" s="3881"/>
      <c r="AX127" s="3885"/>
      <c r="AY127" s="3885"/>
      <c r="AZ127" s="3886" t="str">
        <f>BA126&amp;"-"&amp;BC126</f>
        <v>45839-46022</v>
      </c>
      <c r="BA127" s="3887"/>
      <c r="BB127" s="3881"/>
      <c r="BC127" s="3887"/>
      <c r="BD127" s="3881"/>
      <c r="BE127" s="3885"/>
      <c r="BF127" s="3885"/>
      <c r="BG127" s="3886" t="str">
        <f>BH126&amp;"-"&amp;BJ126</f>
        <v>46023-46203</v>
      </c>
      <c r="BH127" s="3887"/>
      <c r="BI127" s="3881"/>
      <c r="BJ127" s="3887"/>
      <c r="BK127" s="3881"/>
      <c r="BL127" s="3885"/>
      <c r="BM127" s="3885"/>
      <c r="BN127" s="3886" t="str">
        <f>BO126&amp;"-"&amp;BQ126</f>
        <v>46204-46387</v>
      </c>
      <c r="BO127" s="3887"/>
      <c r="BP127" s="3881"/>
      <c r="BQ127" s="3887"/>
      <c r="BR127" s="3881"/>
      <c r="BS127" s="3885"/>
      <c r="BT127" s="3885"/>
      <c r="BU127" s="3886" t="str">
        <f>BV126&amp;"-"&amp;BX126</f>
        <v>46388-46568</v>
      </c>
      <c r="BV127" s="3887"/>
      <c r="BW127" s="3881"/>
      <c r="BX127" s="3887"/>
      <c r="BY127" s="3881"/>
      <c r="BZ127" s="3885"/>
      <c r="CA127" s="3885"/>
      <c r="CB127" s="3886" t="str">
        <f>CC126&amp;"-"&amp;CE126</f>
        <v>46569-46752</v>
      </c>
      <c r="CC127" s="3887"/>
      <c r="CD127" s="3881"/>
      <c r="CE127" s="3887"/>
      <c r="CF127" s="3881"/>
      <c r="CG127" s="3885"/>
      <c r="CH127" s="3885"/>
      <c r="CI127" s="3886" t="str">
        <f>CJ126&amp;"-"&amp;CL126</f>
        <v>46753-46934</v>
      </c>
      <c r="CJ127" s="3887"/>
      <c r="CK127" s="3881"/>
      <c r="CL127" s="3887"/>
      <c r="CM127" s="3881"/>
      <c r="CN127" s="3885"/>
      <c r="CO127" s="3885"/>
      <c r="CP127" s="3886" t="str">
        <f>CQ126&amp;"-"&amp;CS126</f>
        <v>46935-47118</v>
      </c>
      <c r="CQ127" s="3887"/>
      <c r="CR127" s="3881"/>
      <c r="CS127" s="3887"/>
      <c r="CT127" s="3881"/>
      <c r="CU127" s="4203"/>
      <c r="CV127" s="4200"/>
      <c r="CW127" s="4093"/>
      <c r="CX127" s="4196"/>
      <c r="CY127" s="4196" t="str">
        <f>IF(T127="","",T127)</f>
        <v/>
      </c>
      <c r="CZ127" s="4196"/>
      <c r="DA127" s="4196"/>
      <c r="DB127" s="3858">
        <v>0</v>
      </c>
    </row>
    <row s="5972" customFormat="1" customHeight="1" ht="21">
      <c r="A128" s="4183"/>
      <c r="B128" s="4183"/>
      <c r="C128" s="4183"/>
      <c r="D128" s="4183"/>
      <c r="E128" s="4184"/>
      <c r="F128" s="4184"/>
      <c r="G128" s="4184"/>
      <c r="H128" s="4184"/>
      <c r="I128" s="4185"/>
      <c r="J128" s="4186" t="str">
        <f>I116&amp;".2"</f>
        <v>1.5.1.1.2</v>
      </c>
      <c r="K128" s="4183"/>
      <c r="L128" s="4187"/>
      <c r="M128" s="4188"/>
      <c r="N128" s="4188"/>
      <c r="O128" s="4188"/>
      <c r="P128" s="4189"/>
      <c r="Q128" s="4189"/>
      <c r="R128" s="4205"/>
      <c r="S128" s="5973"/>
      <c r="T128" s="5974" t="s">
        <v>615</v>
      </c>
      <c r="U128" s="5975"/>
      <c r="V128" s="5976"/>
      <c r="W128" s="5977"/>
      <c r="X128" s="5978"/>
      <c r="Y128" s="5979"/>
      <c r="Z128" s="5980"/>
      <c r="AA128" s="5981"/>
      <c r="AB128" s="5982"/>
      <c r="AC128" s="5983"/>
      <c r="AD128" s="5984"/>
      <c r="AE128" s="5985"/>
      <c r="AF128" s="5986"/>
      <c r="AG128" s="5987"/>
      <c r="AH128" s="5988"/>
      <c r="AI128" s="5989"/>
      <c r="AJ128" s="5990"/>
      <c r="AK128" s="5991"/>
      <c r="AL128" s="5992"/>
      <c r="AM128" s="5993"/>
      <c r="AN128" s="5994"/>
      <c r="AO128" s="5995"/>
      <c r="AP128" s="5996"/>
      <c r="AQ128" s="5997"/>
      <c r="AR128" s="5998"/>
      <c r="AS128" s="5999"/>
      <c r="AT128" s="6000"/>
      <c r="AU128" s="6001"/>
      <c r="AV128" s="6002"/>
      <c r="AW128" s="6003"/>
      <c r="AX128" s="6004"/>
      <c r="AY128" s="6005"/>
      <c r="AZ128" s="6006"/>
      <c r="BA128" s="6007"/>
      <c r="BB128" s="6008"/>
      <c r="BC128" s="6009"/>
      <c r="BD128" s="6010"/>
      <c r="BE128" s="6011"/>
      <c r="BF128" s="6012"/>
      <c r="BG128" s="6013"/>
      <c r="BH128" s="6014"/>
      <c r="BI128" s="6015"/>
      <c r="BJ128" s="6016"/>
      <c r="BK128" s="6017"/>
      <c r="BL128" s="6018"/>
      <c r="BM128" s="6019"/>
      <c r="BN128" s="6020"/>
      <c r="BO128" s="6021"/>
      <c r="BP128" s="6022"/>
      <c r="BQ128" s="6023"/>
      <c r="BR128" s="6024"/>
      <c r="BS128" s="6025"/>
      <c r="BT128" s="6026"/>
      <c r="BU128" s="6027"/>
      <c r="BV128" s="6028"/>
      <c r="BW128" s="6029"/>
      <c r="BX128" s="6030"/>
      <c r="BY128" s="6031"/>
      <c r="BZ128" s="6032"/>
      <c r="CA128" s="6033"/>
      <c r="CB128" s="6034"/>
      <c r="CC128" s="6035"/>
      <c r="CD128" s="6036"/>
      <c r="CE128" s="6037"/>
      <c r="CF128" s="6038"/>
      <c r="CG128" s="6039"/>
      <c r="CH128" s="6040"/>
      <c r="CI128" s="6041"/>
      <c r="CJ128" s="6042"/>
      <c r="CK128" s="6043"/>
      <c r="CL128" s="6044"/>
      <c r="CM128" s="6045"/>
      <c r="CN128" s="6046"/>
      <c r="CO128" s="6047"/>
      <c r="CP128" s="6048"/>
      <c r="CQ128" s="6049"/>
      <c r="CR128" s="6050"/>
      <c r="CS128" s="6051"/>
      <c r="CT128" s="6052"/>
      <c r="CU128" s="6053"/>
      <c r="CV128" s="4287" t="s">
        <v>616</v>
      </c>
      <c r="CW128" s="4093"/>
      <c r="CX128" s="4196"/>
      <c r="CY128" s="4196" t="str">
        <f>IF(T128="","",T128)</f>
        <v>Добавить значение признака дифференциации</v>
      </c>
      <c r="CZ128" s="4196"/>
      <c r="DA128" s="4196"/>
      <c r="DB128" s="3858">
        <v>0</v>
      </c>
    </row>
    <row s="6054" customFormat="1" customHeight="1" ht="21">
      <c r="A129" s="4183"/>
      <c r="B129" s="4183"/>
      <c r="C129" s="4183"/>
      <c r="D129" s="4183"/>
      <c r="E129" s="4184"/>
      <c r="F129" s="4184" t="s">
        <v>95</v>
      </c>
      <c r="G129" s="4184"/>
      <c r="H129" s="4184"/>
      <c r="I129" s="4186"/>
      <c r="J129" s="4183"/>
      <c r="K129" s="4183"/>
      <c r="L129" s="4187"/>
      <c r="M129" s="4188"/>
      <c r="N129" s="4188"/>
      <c r="O129" s="4188"/>
      <c r="P129" s="4189"/>
      <c r="Q129" s="4189"/>
      <c r="R129" s="4205"/>
      <c r="S129" s="6055"/>
      <c r="T129" s="6056" t="s">
        <v>544</v>
      </c>
      <c r="U129" s="6057"/>
      <c r="V129" s="6058"/>
      <c r="W129" s="6059"/>
      <c r="X129" s="6060"/>
      <c r="Y129" s="6061"/>
      <c r="Z129" s="6062"/>
      <c r="AA129" s="6063"/>
      <c r="AB129" s="6064"/>
      <c r="AC129" s="6065"/>
      <c r="AD129" s="6066"/>
      <c r="AE129" s="6067"/>
      <c r="AF129" s="6068"/>
      <c r="AG129" s="6069"/>
      <c r="AH129" s="6070"/>
      <c r="AI129" s="6071"/>
      <c r="AJ129" s="6072"/>
      <c r="AK129" s="6073"/>
      <c r="AL129" s="6074"/>
      <c r="AM129" s="6075"/>
      <c r="AN129" s="6076"/>
      <c r="AO129" s="6077"/>
      <c r="AP129" s="6078"/>
      <c r="AQ129" s="6079"/>
      <c r="AR129" s="6080"/>
      <c r="AS129" s="6081"/>
      <c r="AT129" s="6082"/>
      <c r="AU129" s="6083"/>
      <c r="AV129" s="6084"/>
      <c r="AW129" s="6085"/>
      <c r="AX129" s="6086"/>
      <c r="AY129" s="6087"/>
      <c r="AZ129" s="6088"/>
      <c r="BA129" s="6089"/>
      <c r="BB129" s="6090"/>
      <c r="BC129" s="6091"/>
      <c r="BD129" s="6092"/>
      <c r="BE129" s="6093"/>
      <c r="BF129" s="6094"/>
      <c r="BG129" s="6095"/>
      <c r="BH129" s="6096"/>
      <c r="BI129" s="6097"/>
      <c r="BJ129" s="6098"/>
      <c r="BK129" s="6099"/>
      <c r="BL129" s="6100"/>
      <c r="BM129" s="6101"/>
      <c r="BN129" s="6102"/>
      <c r="BO129" s="6103"/>
      <c r="BP129" s="6104"/>
      <c r="BQ129" s="6105"/>
      <c r="BR129" s="6106"/>
      <c r="BS129" s="6107"/>
      <c r="BT129" s="6108"/>
      <c r="BU129" s="6109"/>
      <c r="BV129" s="6110"/>
      <c r="BW129" s="6111"/>
      <c r="BX129" s="6112"/>
      <c r="BY129" s="6113"/>
      <c r="BZ129" s="6114"/>
      <c r="CA129" s="6115"/>
      <c r="CB129" s="6116"/>
      <c r="CC129" s="6117"/>
      <c r="CD129" s="6118"/>
      <c r="CE129" s="6119"/>
      <c r="CF129" s="6120"/>
      <c r="CG129" s="6121"/>
      <c r="CH129" s="6122"/>
      <c r="CI129" s="6123"/>
      <c r="CJ129" s="6124"/>
      <c r="CK129" s="6125"/>
      <c r="CL129" s="6126"/>
      <c r="CM129" s="6127"/>
      <c r="CN129" s="6128"/>
      <c r="CO129" s="6129"/>
      <c r="CP129" s="6130"/>
      <c r="CQ129" s="6131"/>
      <c r="CR129" s="6132"/>
      <c r="CS129" s="6133"/>
      <c r="CT129" s="6134"/>
      <c r="CU129" s="6135"/>
      <c r="CV129" s="6136"/>
      <c r="CW129" s="4093"/>
      <c r="CX129" s="4196"/>
      <c r="CY129" s="4196" t="str">
        <f>IF(T129="","",T129)</f>
        <v>Добавить группу потребителей</v>
      </c>
      <c r="CZ129" s="4196"/>
      <c r="DA129" s="4196"/>
      <c r="DB129" s="3858">
        <v>0</v>
      </c>
    </row>
    <row s="6137" customFormat="1" customHeight="1" ht="14.25">
      <c r="A130" s="4183"/>
      <c r="B130" s="4183"/>
      <c r="C130" s="4183"/>
      <c r="D130" s="4183"/>
      <c r="E130" s="4184"/>
      <c r="F130" s="4184" t="s">
        <v>95</v>
      </c>
      <c r="G130" s="4184"/>
      <c r="H130" s="4500"/>
      <c r="I130" s="4183"/>
      <c r="J130" s="4183"/>
      <c r="K130" s="4183"/>
      <c r="L130" s="4187"/>
      <c r="M130" s="4501"/>
      <c r="N130" s="4501"/>
      <c r="O130" s="4083"/>
      <c r="P130" s="4853"/>
      <c r="Q130" s="4854"/>
      <c r="R130" s="4855"/>
      <c r="S130" s="6138"/>
      <c r="T130" s="6139" t="s">
        <v>617</v>
      </c>
      <c r="U130" s="6140"/>
      <c r="V130" s="6141"/>
      <c r="W130" s="6142"/>
      <c r="X130" s="6143"/>
      <c r="Y130" s="6144"/>
      <c r="Z130" s="6145"/>
      <c r="AA130" s="6146"/>
      <c r="AB130" s="6147"/>
      <c r="AC130" s="6148"/>
      <c r="AD130" s="6149"/>
      <c r="AE130" s="6150"/>
      <c r="AF130" s="6151"/>
      <c r="AG130" s="6152"/>
      <c r="AH130" s="6153"/>
      <c r="AI130" s="6154"/>
      <c r="AJ130" s="6155"/>
      <c r="AK130" s="6156"/>
      <c r="AL130" s="6157"/>
      <c r="AM130" s="6158"/>
      <c r="AN130" s="6159"/>
      <c r="AO130" s="6160"/>
      <c r="AP130" s="6161"/>
      <c r="AQ130" s="6162"/>
      <c r="AR130" s="6163"/>
      <c r="AS130" s="6164"/>
      <c r="AT130" s="6165"/>
      <c r="AU130" s="6166"/>
      <c r="AV130" s="6167"/>
      <c r="AW130" s="6168"/>
      <c r="AX130" s="6169"/>
      <c r="AY130" s="6170"/>
      <c r="AZ130" s="6171"/>
      <c r="BA130" s="6172"/>
      <c r="BB130" s="6173"/>
      <c r="BC130" s="6174"/>
      <c r="BD130" s="6175"/>
      <c r="BE130" s="6176"/>
      <c r="BF130" s="6177"/>
      <c r="BG130" s="6178"/>
      <c r="BH130" s="6179"/>
      <c r="BI130" s="6180"/>
      <c r="BJ130" s="6181"/>
      <c r="BK130" s="6182"/>
      <c r="BL130" s="6183"/>
      <c r="BM130" s="6184"/>
      <c r="BN130" s="6185"/>
      <c r="BO130" s="6186"/>
      <c r="BP130" s="6187"/>
      <c r="BQ130" s="6188"/>
      <c r="BR130" s="6189"/>
      <c r="BS130" s="6190"/>
      <c r="BT130" s="6191"/>
      <c r="BU130" s="6192"/>
      <c r="BV130" s="6193"/>
      <c r="BW130" s="6194"/>
      <c r="BX130" s="6195"/>
      <c r="BY130" s="6196"/>
      <c r="BZ130" s="6197"/>
      <c r="CA130" s="6198"/>
      <c r="CB130" s="6199"/>
      <c r="CC130" s="6200"/>
      <c r="CD130" s="6201"/>
      <c r="CE130" s="6202"/>
      <c r="CF130" s="6203"/>
      <c r="CG130" s="6204"/>
      <c r="CH130" s="6205"/>
      <c r="CI130" s="6206"/>
      <c r="CJ130" s="6207"/>
      <c r="CK130" s="6208"/>
      <c r="CL130" s="6209"/>
      <c r="CM130" s="6210"/>
      <c r="CN130" s="6211"/>
      <c r="CO130" s="6212"/>
      <c r="CP130" s="6213"/>
      <c r="CQ130" s="6214"/>
      <c r="CR130" s="6215"/>
      <c r="CS130" s="6216"/>
      <c r="CT130" s="6217"/>
      <c r="CU130" s="6218"/>
      <c r="CV130" s="6219"/>
      <c r="CW130" s="4093"/>
      <c r="CX130" s="4196"/>
      <c r="CY130" s="4196" t="str">
        <f>IF(T130="","",T130)</f>
        <v>Добавить наименование признака дифференциации</v>
      </c>
      <c r="CZ130" s="4196"/>
      <c r="DA130" s="4196"/>
      <c r="DB130" s="3858">
        <v>0</v>
      </c>
    </row>
    <row s="6220" customFormat="1" customHeight="1" ht="14.25">
      <c r="A131" s="4939"/>
      <c r="B131" s="4939"/>
      <c r="C131" s="4939"/>
      <c r="D131" s="4939"/>
      <c r="E131" s="4184"/>
      <c r="F131" s="4500" t="s">
        <v>95</v>
      </c>
      <c r="G131" s="4939"/>
      <c r="H131" s="4939"/>
      <c r="I131" s="4939"/>
      <c r="J131" s="4939"/>
      <c r="K131" s="4939"/>
      <c r="L131" s="4940"/>
      <c r="M131" s="4941"/>
      <c r="N131" s="4941"/>
      <c r="O131" s="4093"/>
      <c r="P131" s="4942"/>
      <c r="Q131" s="4943"/>
      <c r="R131" s="4942"/>
      <c r="S131" s="4944"/>
      <c r="T131" s="4945" t="s">
        <v>302</v>
      </c>
      <c r="U131" s="4081"/>
      <c r="V131" s="4081"/>
      <c r="W131" s="4081"/>
      <c r="X131" s="4081"/>
      <c r="Y131" s="4081"/>
      <c r="Z131" s="4081"/>
      <c r="AA131" s="4081"/>
      <c r="AB131" s="4081"/>
      <c r="AC131" s="4081"/>
      <c r="AD131" s="4081"/>
      <c r="AE131" s="4081"/>
      <c r="AF131" s="4081"/>
      <c r="AG131" s="4081"/>
      <c r="AH131" s="4081"/>
      <c r="AI131" s="4081"/>
      <c r="AJ131" s="4081"/>
      <c r="AK131" s="4081"/>
      <c r="AL131" s="4081"/>
      <c r="AM131" s="4081"/>
      <c r="AN131" s="4081"/>
      <c r="AO131" s="4081"/>
      <c r="AP131" s="4081"/>
      <c r="AQ131" s="4081"/>
      <c r="AR131" s="4081"/>
      <c r="AS131" s="4081"/>
      <c r="AT131" s="4081"/>
      <c r="AU131" s="4081"/>
      <c r="AV131" s="4081"/>
      <c r="AW131" s="4081"/>
      <c r="AX131" s="4081"/>
      <c r="AY131" s="4081"/>
      <c r="AZ131" s="4081"/>
      <c r="BA131" s="4081"/>
      <c r="BB131" s="4081"/>
      <c r="BC131" s="4081"/>
      <c r="BD131" s="4081"/>
      <c r="BE131" s="4081"/>
      <c r="BF131" s="4081"/>
      <c r="BG131" s="4081"/>
      <c r="BH131" s="4081"/>
      <c r="BI131" s="4081"/>
      <c r="BJ131" s="4081"/>
      <c r="BK131" s="4081"/>
      <c r="BL131" s="4081"/>
      <c r="BM131" s="4081"/>
      <c r="BN131" s="4081"/>
      <c r="BO131" s="4081"/>
      <c r="BP131" s="4081"/>
      <c r="BQ131" s="4081"/>
      <c r="BR131" s="4081"/>
      <c r="BS131" s="4081"/>
      <c r="BT131" s="4081"/>
      <c r="BU131" s="4081"/>
      <c r="BV131" s="4081"/>
      <c r="BW131" s="4081"/>
      <c r="BX131" s="4081"/>
      <c r="BY131" s="4081"/>
      <c r="BZ131" s="4081"/>
      <c r="CA131" s="4081"/>
      <c r="CB131" s="4081"/>
      <c r="CC131" s="4081"/>
      <c r="CD131" s="4081"/>
      <c r="CE131" s="4081"/>
      <c r="CF131" s="4081"/>
      <c r="CG131" s="4081"/>
      <c r="CH131" s="4081"/>
      <c r="CI131" s="4081"/>
      <c r="CJ131" s="4081"/>
      <c r="CK131" s="4081"/>
      <c r="CL131" s="4081"/>
      <c r="CM131" s="4081"/>
      <c r="CN131" s="4081"/>
      <c r="CO131" s="4081"/>
      <c r="CP131" s="4081"/>
      <c r="CQ131" s="4081"/>
      <c r="CR131" s="4081"/>
      <c r="CS131" s="4081"/>
      <c r="CT131" s="4081"/>
      <c r="CU131" s="4081"/>
      <c r="CV131" s="4081"/>
      <c r="CW131" s="4093"/>
      <c r="CX131" s="4196"/>
      <c r="CY131" s="4196" t="str">
        <f>IF(T131="","",T131)</f>
        <v>Добавить централизованную систему для дифференциации</v>
      </c>
      <c r="CZ131" s="4196"/>
      <c r="DA131" s="4196"/>
      <c r="DB131" s="4093">
        <v>0</v>
      </c>
    </row>
    <row s="6221" customFormat="1" customHeight="1" ht="23.25">
      <c r="A132" s="4183"/>
      <c r="B132" s="4183" t="s">
        <v>316</v>
      </c>
      <c r="C132" s="4183"/>
      <c r="D132" s="4183"/>
      <c r="E132" s="4184"/>
      <c r="F132" s="4500" t="s">
        <v>96</v>
      </c>
      <c r="G132" s="4183"/>
      <c r="H132" s="4183"/>
      <c r="I132" s="4183"/>
      <c r="J132" s="4183"/>
      <c r="K132" s="4183"/>
      <c r="L132" s="4187"/>
      <c r="M132" s="4501"/>
      <c r="N132" s="4501"/>
      <c r="O132" s="4501"/>
      <c r="P132" s="4502"/>
      <c r="Q132" s="4503"/>
      <c r="R132" s="4504"/>
      <c r="S132" s="4192" t="str">
        <f>INDEX(PT_DIFFERENTIATION_NUM_TER,MATCH(B132,PT_DIFFERENTIATION_TER_ID,0))</f>
        <v>1.6</v>
      </c>
      <c r="T132" s="4505" t="s">
        <v>529</v>
      </c>
      <c r="U132" s="4194"/>
      <c r="V132" s="3860"/>
      <c r="W132" s="3861"/>
      <c r="X132" s="3861"/>
      <c r="Y132" s="3861"/>
      <c r="Z132" s="3861"/>
      <c r="AA132" s="3861"/>
      <c r="AB132" s="3862"/>
      <c r="AC132" s="3860" t="str">
        <f>INDEX(PT_DIFFERENTIATION_TER,MATCH(B132,PT_DIFFERENTIATION_TER_ID,0))</f>
        <v>Территория 6</v>
      </c>
      <c r="AD132" s="3861"/>
      <c r="AE132" s="3861"/>
      <c r="AF132" s="3861"/>
      <c r="AG132" s="3861"/>
      <c r="AH132" s="3861"/>
      <c r="AI132" s="3861"/>
      <c r="AJ132" s="3860"/>
      <c r="AK132" s="3861"/>
      <c r="AL132" s="3861"/>
      <c r="AM132" s="3861"/>
      <c r="AN132" s="3861"/>
      <c r="AO132" s="3861"/>
      <c r="AP132" s="3862"/>
      <c r="AQ132" s="3860"/>
      <c r="AR132" s="3861"/>
      <c r="AS132" s="3861"/>
      <c r="AT132" s="3861"/>
      <c r="AU132" s="3861"/>
      <c r="AV132" s="3861"/>
      <c r="AW132" s="3862"/>
      <c r="AX132" s="3860"/>
      <c r="AY132" s="3861"/>
      <c r="AZ132" s="3861"/>
      <c r="BA132" s="3861"/>
      <c r="BB132" s="3861"/>
      <c r="BC132" s="3861"/>
      <c r="BD132" s="3862"/>
      <c r="BE132" s="3860"/>
      <c r="BF132" s="3861"/>
      <c r="BG132" s="3861"/>
      <c r="BH132" s="3861"/>
      <c r="BI132" s="3861"/>
      <c r="BJ132" s="3861"/>
      <c r="BK132" s="3862"/>
      <c r="BL132" s="3860"/>
      <c r="BM132" s="3861"/>
      <c r="BN132" s="3861"/>
      <c r="BO132" s="3861"/>
      <c r="BP132" s="3861"/>
      <c r="BQ132" s="3861"/>
      <c r="BR132" s="3862"/>
      <c r="BS132" s="3860"/>
      <c r="BT132" s="3861"/>
      <c r="BU132" s="3861"/>
      <c r="BV132" s="3861"/>
      <c r="BW132" s="3861"/>
      <c r="BX132" s="3861"/>
      <c r="BY132" s="3862"/>
      <c r="BZ132" s="3860"/>
      <c r="CA132" s="3861"/>
      <c r="CB132" s="3861"/>
      <c r="CC132" s="3861"/>
      <c r="CD132" s="3861"/>
      <c r="CE132" s="3861"/>
      <c r="CF132" s="3862"/>
      <c r="CG132" s="3860"/>
      <c r="CH132" s="3861"/>
      <c r="CI132" s="3861"/>
      <c r="CJ132" s="3861"/>
      <c r="CK132" s="3861"/>
      <c r="CL132" s="3861"/>
      <c r="CM132" s="3862"/>
      <c r="CN132" s="3860"/>
      <c r="CO132" s="3861"/>
      <c r="CP132" s="3861"/>
      <c r="CQ132" s="3861"/>
      <c r="CR132" s="3861"/>
      <c r="CS132" s="3861"/>
      <c r="CT132" s="3862"/>
      <c r="CU132" s="3862"/>
      <c r="CV132" s="4287" t="s">
        <v>530</v>
      </c>
      <c r="CW132" s="4093"/>
      <c r="CX132" s="4196"/>
      <c r="CY132" s="4196" t="str">
        <f>IF(T132="","",T132)</f>
        <v>Территория действия тарифа</v>
      </c>
      <c r="CZ132" s="4196"/>
      <c r="DA132" s="4196"/>
      <c r="DB132" s="3858">
        <v>0</v>
      </c>
    </row>
    <row s="6222" customFormat="1" customHeight="1" ht="23.25">
      <c r="A133" s="4183"/>
      <c r="B133" s="4183"/>
      <c r="C133" s="4183" t="s">
        <v>317</v>
      </c>
      <c r="D133" s="4183"/>
      <c r="E133" s="4184"/>
      <c r="F133" s="4184" t="s">
        <v>122</v>
      </c>
      <c r="G133" s="4500">
        <v>1</v>
      </c>
      <c r="H133" s="4183"/>
      <c r="I133" s="4183"/>
      <c r="J133" s="4183"/>
      <c r="K133" s="4183"/>
      <c r="L133" s="4187"/>
      <c r="M133" s="4501"/>
      <c r="N133" s="4501"/>
      <c r="O133" s="4501"/>
      <c r="P133" s="4507"/>
      <c r="Q133" s="4503"/>
      <c r="R133" s="4504"/>
      <c r="S133" s="4192" t="str">
        <f>INDEX(PT_DIFFERENTIATION_NUM_CS,MATCH(C133,PT_DIFFERENTIATION_CS_ID,0))</f>
        <v>1.6.1</v>
      </c>
      <c r="T133" s="4508" t="s">
        <v>610</v>
      </c>
      <c r="U133" s="4194"/>
      <c r="V133" s="3860"/>
      <c r="W133" s="3861"/>
      <c r="X133" s="3861"/>
      <c r="Y133" s="3861"/>
      <c r="Z133" s="3861"/>
      <c r="AA133" s="3861"/>
      <c r="AB133" s="3862"/>
      <c r="AC133" s="3860" t="str">
        <f>INDEX(PT_DIFFERENTIATION_CS,MATCH(C133,PT_DIFFERENTIATION_CS_ID,0))</f>
        <v>п. им. Маршала Жукова</v>
      </c>
      <c r="AD133" s="3861"/>
      <c r="AE133" s="3861"/>
      <c r="AF133" s="3861"/>
      <c r="AG133" s="3861"/>
      <c r="AH133" s="3861"/>
      <c r="AI133" s="3861"/>
      <c r="AJ133" s="3860"/>
      <c r="AK133" s="3861"/>
      <c r="AL133" s="3861"/>
      <c r="AM133" s="3861"/>
      <c r="AN133" s="3861"/>
      <c r="AO133" s="3861"/>
      <c r="AP133" s="3862"/>
      <c r="AQ133" s="3860"/>
      <c r="AR133" s="3861"/>
      <c r="AS133" s="3861"/>
      <c r="AT133" s="3861"/>
      <c r="AU133" s="3861"/>
      <c r="AV133" s="3861"/>
      <c r="AW133" s="3862"/>
      <c r="AX133" s="3860"/>
      <c r="AY133" s="3861"/>
      <c r="AZ133" s="3861"/>
      <c r="BA133" s="3861"/>
      <c r="BB133" s="3861"/>
      <c r="BC133" s="3861"/>
      <c r="BD133" s="3862"/>
      <c r="BE133" s="3860"/>
      <c r="BF133" s="3861"/>
      <c r="BG133" s="3861"/>
      <c r="BH133" s="3861"/>
      <c r="BI133" s="3861"/>
      <c r="BJ133" s="3861"/>
      <c r="BK133" s="3862"/>
      <c r="BL133" s="3860"/>
      <c r="BM133" s="3861"/>
      <c r="BN133" s="3861"/>
      <c r="BO133" s="3861"/>
      <c r="BP133" s="3861"/>
      <c r="BQ133" s="3861"/>
      <c r="BR133" s="3862"/>
      <c r="BS133" s="3860"/>
      <c r="BT133" s="3861"/>
      <c r="BU133" s="3861"/>
      <c r="BV133" s="3861"/>
      <c r="BW133" s="3861"/>
      <c r="BX133" s="3861"/>
      <c r="BY133" s="3862"/>
      <c r="BZ133" s="3860"/>
      <c r="CA133" s="3861"/>
      <c r="CB133" s="3861"/>
      <c r="CC133" s="3861"/>
      <c r="CD133" s="3861"/>
      <c r="CE133" s="3861"/>
      <c r="CF133" s="3862"/>
      <c r="CG133" s="3860"/>
      <c r="CH133" s="3861"/>
      <c r="CI133" s="3861"/>
      <c r="CJ133" s="3861"/>
      <c r="CK133" s="3861"/>
      <c r="CL133" s="3861"/>
      <c r="CM133" s="3862"/>
      <c r="CN133" s="3860"/>
      <c r="CO133" s="3861"/>
      <c r="CP133" s="3861"/>
      <c r="CQ133" s="3861"/>
      <c r="CR133" s="3861"/>
      <c r="CS133" s="3861"/>
      <c r="CT133" s="3862"/>
      <c r="CU133" s="3862"/>
      <c r="CV133" s="4287" t="s">
        <v>611</v>
      </c>
      <c r="CW133" s="4093"/>
      <c r="CX133" s="4196"/>
      <c r="CY133" s="4196" t="str">
        <f>IF(T133="","",T133)</f>
        <v>Наименование централизованной системы холодного водоснабжения</v>
      </c>
      <c r="CZ133" s="4196"/>
      <c r="DA133" s="4196"/>
      <c r="DB133" s="3858">
        <v>0</v>
      </c>
    </row>
    <row s="6223" customFormat="1" customHeight="1" ht="23.25">
      <c r="A134" s="4183"/>
      <c r="B134" s="4183"/>
      <c r="C134" s="4183"/>
      <c r="D134" s="4183"/>
      <c r="E134" s="4184"/>
      <c r="F134" s="4184" t="s">
        <v>122</v>
      </c>
      <c r="G134" s="4184"/>
      <c r="H134" s="4184"/>
      <c r="I134" s="4186" t="str">
        <f>S133&amp;".1"</f>
        <v>1.6.1.1</v>
      </c>
      <c r="J134" s="4183"/>
      <c r="K134" s="4183"/>
      <c r="L134" s="4187"/>
      <c r="M134" s="4188"/>
      <c r="N134" s="4188"/>
      <c r="O134" s="4188"/>
      <c r="P134" s="4189">
        <v>1</v>
      </c>
      <c r="Q134" s="4189"/>
      <c r="R134" s="4205"/>
      <c r="S134" s="4192" t="str">
        <f>$I134</f>
        <v>1.6.1.1</v>
      </c>
      <c r="T134" s="4510" t="s">
        <v>612</v>
      </c>
      <c r="U134" s="4194"/>
      <c r="V134" s="3870"/>
      <c r="W134" s="3871"/>
      <c r="X134" s="3871"/>
      <c r="Y134" s="3871"/>
      <c r="Z134" s="3871"/>
      <c r="AA134" s="3871"/>
      <c r="AB134" s="3872"/>
      <c r="AC134" s="4511"/>
      <c r="AD134" s="4512"/>
      <c r="AE134" s="4512"/>
      <c r="AF134" s="4512"/>
      <c r="AG134" s="4512"/>
      <c r="AH134" s="4512"/>
      <c r="AI134" s="4512"/>
      <c r="AJ134" s="3870"/>
      <c r="AK134" s="3871"/>
      <c r="AL134" s="3871"/>
      <c r="AM134" s="3871"/>
      <c r="AN134" s="3871"/>
      <c r="AO134" s="3871"/>
      <c r="AP134" s="3872"/>
      <c r="AQ134" s="3870"/>
      <c r="AR134" s="3871"/>
      <c r="AS134" s="3871"/>
      <c r="AT134" s="3871"/>
      <c r="AU134" s="3871"/>
      <c r="AV134" s="3871"/>
      <c r="AW134" s="3872"/>
      <c r="AX134" s="3870"/>
      <c r="AY134" s="3871"/>
      <c r="AZ134" s="3871"/>
      <c r="BA134" s="3871"/>
      <c r="BB134" s="3871"/>
      <c r="BC134" s="3871"/>
      <c r="BD134" s="3872"/>
      <c r="BE134" s="3870"/>
      <c r="BF134" s="3871"/>
      <c r="BG134" s="3871"/>
      <c r="BH134" s="3871"/>
      <c r="BI134" s="3871"/>
      <c r="BJ134" s="3871"/>
      <c r="BK134" s="3872"/>
      <c r="BL134" s="3870"/>
      <c r="BM134" s="3871"/>
      <c r="BN134" s="3871"/>
      <c r="BO134" s="3871"/>
      <c r="BP134" s="3871"/>
      <c r="BQ134" s="3871"/>
      <c r="BR134" s="3872"/>
      <c r="BS134" s="3870"/>
      <c r="BT134" s="3871"/>
      <c r="BU134" s="3871"/>
      <c r="BV134" s="3871"/>
      <c r="BW134" s="3871"/>
      <c r="BX134" s="3871"/>
      <c r="BY134" s="3872"/>
      <c r="BZ134" s="3870"/>
      <c r="CA134" s="3871"/>
      <c r="CB134" s="3871"/>
      <c r="CC134" s="3871"/>
      <c r="CD134" s="3871"/>
      <c r="CE134" s="3871"/>
      <c r="CF134" s="3872"/>
      <c r="CG134" s="3870"/>
      <c r="CH134" s="3871"/>
      <c r="CI134" s="3871"/>
      <c r="CJ134" s="3871"/>
      <c r="CK134" s="3871"/>
      <c r="CL134" s="3871"/>
      <c r="CM134" s="3872"/>
      <c r="CN134" s="3870"/>
      <c r="CO134" s="3871"/>
      <c r="CP134" s="3871"/>
      <c r="CQ134" s="3871"/>
      <c r="CR134" s="3871"/>
      <c r="CS134" s="3871"/>
      <c r="CT134" s="3872"/>
      <c r="CU134" s="4513"/>
      <c r="CV134" s="4287" t="s">
        <v>613</v>
      </c>
      <c r="CW134" s="4093"/>
      <c r="CX134" s="4196"/>
      <c r="CY134" s="4196" t="str">
        <f>IF(T134="","",T134)</f>
        <v>Наименование признака дифференциации</v>
      </c>
      <c r="CZ134" s="4196"/>
      <c r="DA134" s="4196"/>
      <c r="DB134" s="3858">
        <v>0</v>
      </c>
    </row>
    <row s="6224" customFormat="1" customHeight="1" ht="23.25">
      <c r="A135" s="4183"/>
      <c r="B135" s="4183"/>
      <c r="C135" s="4183"/>
      <c r="D135" s="4183"/>
      <c r="E135" s="4184"/>
      <c r="F135" s="4184" t="s">
        <v>122</v>
      </c>
      <c r="G135" s="4184"/>
      <c r="H135" s="4184"/>
      <c r="I135" s="4185"/>
      <c r="J135" s="4186" t="str">
        <f>I134&amp;".1"</f>
        <v>1.6.1.1.1</v>
      </c>
      <c r="K135" s="4183"/>
      <c r="L135" s="4187" t="s">
        <v>538</v>
      </c>
      <c r="M135" s="4188"/>
      <c r="N135" s="4188"/>
      <c r="O135" s="4188"/>
      <c r="P135" s="4189"/>
      <c r="Q135" s="4189">
        <v>1</v>
      </c>
      <c r="R135" s="4191"/>
      <c r="S135" s="4192" t="str">
        <f>$J135</f>
        <v>1.6.1.1.1</v>
      </c>
      <c r="T135" s="4193" t="s">
        <v>539</v>
      </c>
      <c r="U135" s="4194"/>
      <c r="V135" s="3874"/>
      <c r="W135" s="3875"/>
      <c r="X135" s="3875"/>
      <c r="Y135" s="3875"/>
      <c r="Z135" s="3875"/>
      <c r="AA135" s="3875"/>
      <c r="AB135" s="3876"/>
      <c r="AC135" s="3874" t="s">
        <v>625</v>
      </c>
      <c r="AD135" s="3875"/>
      <c r="AE135" s="3875"/>
      <c r="AF135" s="3875"/>
      <c r="AG135" s="3875"/>
      <c r="AH135" s="3875"/>
      <c r="AI135" s="3875"/>
      <c r="AJ135" s="3874"/>
      <c r="AK135" s="3875"/>
      <c r="AL135" s="3875"/>
      <c r="AM135" s="3875"/>
      <c r="AN135" s="3875"/>
      <c r="AO135" s="3875"/>
      <c r="AP135" s="3876"/>
      <c r="AQ135" s="3874"/>
      <c r="AR135" s="3875"/>
      <c r="AS135" s="3875"/>
      <c r="AT135" s="3875"/>
      <c r="AU135" s="3875"/>
      <c r="AV135" s="3875"/>
      <c r="AW135" s="3876"/>
      <c r="AX135" s="3874"/>
      <c r="AY135" s="3875"/>
      <c r="AZ135" s="3875"/>
      <c r="BA135" s="3875"/>
      <c r="BB135" s="3875"/>
      <c r="BC135" s="3875"/>
      <c r="BD135" s="3876"/>
      <c r="BE135" s="3874"/>
      <c r="BF135" s="3875"/>
      <c r="BG135" s="3875"/>
      <c r="BH135" s="3875"/>
      <c r="BI135" s="3875"/>
      <c r="BJ135" s="3875"/>
      <c r="BK135" s="3876"/>
      <c r="BL135" s="3874"/>
      <c r="BM135" s="3875"/>
      <c r="BN135" s="3875"/>
      <c r="BO135" s="3875"/>
      <c r="BP135" s="3875"/>
      <c r="BQ135" s="3875"/>
      <c r="BR135" s="3876"/>
      <c r="BS135" s="3874"/>
      <c r="BT135" s="3875"/>
      <c r="BU135" s="3875"/>
      <c r="BV135" s="3875"/>
      <c r="BW135" s="3875"/>
      <c r="BX135" s="3875"/>
      <c r="BY135" s="3876"/>
      <c r="BZ135" s="3874"/>
      <c r="CA135" s="3875"/>
      <c r="CB135" s="3875"/>
      <c r="CC135" s="3875"/>
      <c r="CD135" s="3875"/>
      <c r="CE135" s="3875"/>
      <c r="CF135" s="3876"/>
      <c r="CG135" s="3874"/>
      <c r="CH135" s="3875"/>
      <c r="CI135" s="3875"/>
      <c r="CJ135" s="3875"/>
      <c r="CK135" s="3875"/>
      <c r="CL135" s="3875"/>
      <c r="CM135" s="3876"/>
      <c r="CN135" s="3874"/>
      <c r="CO135" s="3875"/>
      <c r="CP135" s="3875"/>
      <c r="CQ135" s="3875"/>
      <c r="CR135" s="3875"/>
      <c r="CS135" s="3875"/>
      <c r="CT135" s="3876"/>
      <c r="CU135" s="3876"/>
      <c r="CV135" s="4195" t="s">
        <v>614</v>
      </c>
      <c r="CW135" s="4093"/>
      <c r="CX135" s="4196"/>
      <c r="CY135" s="4196" t="str">
        <f>IF(T135="","",T135)</f>
        <v>Группа потребителей</v>
      </c>
      <c r="CZ135" s="4196"/>
      <c r="DA135" s="4196"/>
      <c r="DB135" s="3858">
        <v>0</v>
      </c>
    </row>
    <row s="6225" customFormat="1" customHeight="1" ht="23.25">
      <c r="A136" s="4183"/>
      <c r="B136" s="4183"/>
      <c r="C136" s="4183"/>
      <c r="D136" s="4183"/>
      <c r="E136" s="4184"/>
      <c r="F136" s="4184" t="s">
        <v>122</v>
      </c>
      <c r="G136" s="4184"/>
      <c r="H136" s="4184"/>
      <c r="I136" s="4185"/>
      <c r="J136" s="4185"/>
      <c r="K136" s="4186" t="str">
        <f>J135&amp;".1"</f>
        <v>1.6.1.1.1.1</v>
      </c>
      <c r="L136" s="4187"/>
      <c r="M136" s="4188"/>
      <c r="N136" s="4188"/>
      <c r="O136" s="4188"/>
      <c r="P136" s="4189"/>
      <c r="Q136" s="4189"/>
      <c r="R136" s="4191">
        <v>1</v>
      </c>
      <c r="S136" s="4192" t="str">
        <f>$K136</f>
        <v>1.6.1.1.1.1</v>
      </c>
      <c r="T136" s="4198"/>
      <c r="U136" s="4194"/>
      <c r="V136" s="3878"/>
      <c r="W136" s="3878"/>
      <c r="X136" s="3879"/>
      <c r="Y136" s="3880"/>
      <c r="Z136" s="3881" t="s">
        <v>65</v>
      </c>
      <c r="AA136" s="3880"/>
      <c r="AB136" s="3881" t="s">
        <v>65</v>
      </c>
      <c r="AC136" s="3878">
        <v>24.88</v>
      </c>
      <c r="AD136" s="3878"/>
      <c r="AE136" s="3879"/>
      <c r="AF136" s="3880">
        <v>45292</v>
      </c>
      <c r="AG136" s="3881" t="s">
        <v>65</v>
      </c>
      <c r="AH136" s="4116">
        <v>45473</v>
      </c>
      <c r="AI136" s="3881" t="s">
        <v>65</v>
      </c>
      <c r="AJ136" s="3878">
        <v>28.46</v>
      </c>
      <c r="AK136" s="3878"/>
      <c r="AL136" s="3879"/>
      <c r="AM136" s="3880">
        <v>45474</v>
      </c>
      <c r="AN136" s="3881" t="s">
        <v>65</v>
      </c>
      <c r="AO136" s="3880">
        <v>45657</v>
      </c>
      <c r="AP136" s="3881" t="s">
        <v>65</v>
      </c>
      <c r="AQ136" s="3878">
        <v>28.46</v>
      </c>
      <c r="AR136" s="3878"/>
      <c r="AS136" s="3879"/>
      <c r="AT136" s="3880">
        <v>45658</v>
      </c>
      <c r="AU136" s="3881" t="s">
        <v>65</v>
      </c>
      <c r="AV136" s="3880">
        <v>45838</v>
      </c>
      <c r="AW136" s="3881" t="s">
        <v>65</v>
      </c>
      <c r="AX136" s="3878">
        <v>32.44</v>
      </c>
      <c r="AY136" s="3878"/>
      <c r="AZ136" s="3879"/>
      <c r="BA136" s="3880">
        <v>45839</v>
      </c>
      <c r="BB136" s="3881" t="s">
        <v>65</v>
      </c>
      <c r="BC136" s="3880">
        <v>46022</v>
      </c>
      <c r="BD136" s="3881" t="s">
        <v>65</v>
      </c>
      <c r="BE136" s="3878">
        <v>30.08</v>
      </c>
      <c r="BF136" s="3878"/>
      <c r="BG136" s="3879"/>
      <c r="BH136" s="3880">
        <v>46023</v>
      </c>
      <c r="BI136" s="3881" t="s">
        <v>65</v>
      </c>
      <c r="BJ136" s="3880">
        <v>46203</v>
      </c>
      <c r="BK136" s="3881" t="s">
        <v>65</v>
      </c>
      <c r="BL136" s="3878">
        <v>31.28</v>
      </c>
      <c r="BM136" s="3878"/>
      <c r="BN136" s="3879"/>
      <c r="BO136" s="3880">
        <v>46204</v>
      </c>
      <c r="BP136" s="3881" t="s">
        <v>65</v>
      </c>
      <c r="BQ136" s="3880">
        <v>46387</v>
      </c>
      <c r="BR136" s="3881" t="s">
        <v>65</v>
      </c>
      <c r="BS136" s="3878">
        <v>31.28</v>
      </c>
      <c r="BT136" s="3878"/>
      <c r="BU136" s="3879"/>
      <c r="BV136" s="3880">
        <v>46388</v>
      </c>
      <c r="BW136" s="3881" t="s">
        <v>65</v>
      </c>
      <c r="BX136" s="3880">
        <v>46568</v>
      </c>
      <c r="BY136" s="3881" t="s">
        <v>65</v>
      </c>
      <c r="BZ136" s="3878">
        <v>32.53</v>
      </c>
      <c r="CA136" s="3878"/>
      <c r="CB136" s="3879"/>
      <c r="CC136" s="3880">
        <v>46569</v>
      </c>
      <c r="CD136" s="3881" t="s">
        <v>65</v>
      </c>
      <c r="CE136" s="3880">
        <v>46752</v>
      </c>
      <c r="CF136" s="3881" t="s">
        <v>65</v>
      </c>
      <c r="CG136" s="3878">
        <v>32.53</v>
      </c>
      <c r="CH136" s="3878"/>
      <c r="CI136" s="3879"/>
      <c r="CJ136" s="3880">
        <v>46753</v>
      </c>
      <c r="CK136" s="3881" t="s">
        <v>65</v>
      </c>
      <c r="CL136" s="3880">
        <v>46934</v>
      </c>
      <c r="CM136" s="3881" t="s">
        <v>65</v>
      </c>
      <c r="CN136" s="3878">
        <v>33.83</v>
      </c>
      <c r="CO136" s="3878"/>
      <c r="CP136" s="3879"/>
      <c r="CQ136" s="3880">
        <v>46935</v>
      </c>
      <c r="CR136" s="3881" t="s">
        <v>65</v>
      </c>
      <c r="CS136" s="3880">
        <v>47118</v>
      </c>
      <c r="CT136" s="3881" t="s">
        <v>65</v>
      </c>
      <c r="CU136" s="4199"/>
      <c r="CV13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36" s="4093">
        <f>STRCHECKDATE(V137:CU137)</f>
      </c>
      <c r="CX136" s="4196"/>
      <c r="CY136" s="4196" t="str">
        <f>IF(T136="","",T136)</f>
        <v/>
      </c>
      <c r="CZ136" s="4196"/>
      <c r="DA136" s="4196"/>
      <c r="DB136" s="3858">
        <v>0</v>
      </c>
    </row>
    <row s="6226" customFormat="1" customHeight="1" ht="14.25">
      <c r="A137" s="4183"/>
      <c r="B137" s="4183"/>
      <c r="C137" s="4183"/>
      <c r="D137" s="4183"/>
      <c r="E137" s="4184"/>
      <c r="F137" s="4184" t="s">
        <v>122</v>
      </c>
      <c r="G137" s="4184"/>
      <c r="H137" s="4184"/>
      <c r="I137" s="4185"/>
      <c r="J137" s="4185"/>
      <c r="K137" s="4186"/>
      <c r="L137" s="4187"/>
      <c r="M137" s="4188"/>
      <c r="N137" s="4188"/>
      <c r="O137" s="4188"/>
      <c r="P137" s="4189"/>
      <c r="Q137" s="4189"/>
      <c r="R137" s="4191"/>
      <c r="S137" s="4202"/>
      <c r="T137" s="4194"/>
      <c r="U137" s="4194"/>
      <c r="V137" s="3885"/>
      <c r="W137" s="3885"/>
      <c r="X137" s="3886" t="str">
        <f>Y136&amp;"-"&amp;AA136</f>
        <v>-</v>
      </c>
      <c r="Y137" s="3887"/>
      <c r="Z137" s="3881"/>
      <c r="AA137" s="3887"/>
      <c r="AB137" s="3881"/>
      <c r="AC137" s="3885"/>
      <c r="AD137" s="3885"/>
      <c r="AE137" s="3886" t="str">
        <f>AF136&amp;"-"&amp;AH136</f>
        <v>45292-45473</v>
      </c>
      <c r="AF137" s="3887"/>
      <c r="AG137" s="3881"/>
      <c r="AH137" s="4118"/>
      <c r="AI137" s="3881"/>
      <c r="AJ137" s="3885"/>
      <c r="AK137" s="3885"/>
      <c r="AL137" s="3886" t="str">
        <f>AM136&amp;"-"&amp;AO136</f>
        <v>45474-45657</v>
      </c>
      <c r="AM137" s="3887"/>
      <c r="AN137" s="3881"/>
      <c r="AO137" s="3887"/>
      <c r="AP137" s="3881"/>
      <c r="AQ137" s="3885"/>
      <c r="AR137" s="3885"/>
      <c r="AS137" s="3886" t="str">
        <f>AT136&amp;"-"&amp;AV136</f>
        <v>45658-45838</v>
      </c>
      <c r="AT137" s="3887"/>
      <c r="AU137" s="3881"/>
      <c r="AV137" s="3887"/>
      <c r="AW137" s="3881"/>
      <c r="AX137" s="3885"/>
      <c r="AY137" s="3885"/>
      <c r="AZ137" s="3886" t="str">
        <f>BA136&amp;"-"&amp;BC136</f>
        <v>45839-46022</v>
      </c>
      <c r="BA137" s="3887"/>
      <c r="BB137" s="3881"/>
      <c r="BC137" s="3887"/>
      <c r="BD137" s="3881"/>
      <c r="BE137" s="3885"/>
      <c r="BF137" s="3885"/>
      <c r="BG137" s="3886" t="str">
        <f>BH136&amp;"-"&amp;BJ136</f>
        <v>46023-46203</v>
      </c>
      <c r="BH137" s="3887"/>
      <c r="BI137" s="3881"/>
      <c r="BJ137" s="3887"/>
      <c r="BK137" s="3881"/>
      <c r="BL137" s="3885"/>
      <c r="BM137" s="3885"/>
      <c r="BN137" s="3886" t="str">
        <f>BO136&amp;"-"&amp;BQ136</f>
        <v>46204-46387</v>
      </c>
      <c r="BO137" s="3887"/>
      <c r="BP137" s="3881"/>
      <c r="BQ137" s="3887"/>
      <c r="BR137" s="3881"/>
      <c r="BS137" s="3885"/>
      <c r="BT137" s="3885"/>
      <c r="BU137" s="3886" t="str">
        <f>BV136&amp;"-"&amp;BX136</f>
        <v>46388-46568</v>
      </c>
      <c r="BV137" s="3887"/>
      <c r="BW137" s="3881"/>
      <c r="BX137" s="3887"/>
      <c r="BY137" s="3881"/>
      <c r="BZ137" s="3885"/>
      <c r="CA137" s="3885"/>
      <c r="CB137" s="3886" t="str">
        <f>CC136&amp;"-"&amp;CE136</f>
        <v>46569-46752</v>
      </c>
      <c r="CC137" s="3887"/>
      <c r="CD137" s="3881"/>
      <c r="CE137" s="3887"/>
      <c r="CF137" s="3881"/>
      <c r="CG137" s="3885"/>
      <c r="CH137" s="3885"/>
      <c r="CI137" s="3886" t="str">
        <f>CJ136&amp;"-"&amp;CL136</f>
        <v>46753-46934</v>
      </c>
      <c r="CJ137" s="3887"/>
      <c r="CK137" s="3881"/>
      <c r="CL137" s="3887"/>
      <c r="CM137" s="3881"/>
      <c r="CN137" s="3885"/>
      <c r="CO137" s="3885"/>
      <c r="CP137" s="3886" t="str">
        <f>CQ136&amp;"-"&amp;CS136</f>
        <v>46935-47118</v>
      </c>
      <c r="CQ137" s="3887"/>
      <c r="CR137" s="3881"/>
      <c r="CS137" s="3887"/>
      <c r="CT137" s="3881"/>
      <c r="CU137" s="4203"/>
      <c r="CV137" s="4200"/>
      <c r="CW137" s="4093"/>
      <c r="CX137" s="4196"/>
      <c r="CY137" s="4196" t="str">
        <f>IF(T137="","",T137)</f>
        <v/>
      </c>
      <c r="CZ137" s="4196"/>
      <c r="DA137" s="4196"/>
      <c r="DB137" s="3858">
        <v>0</v>
      </c>
    </row>
    <row s="6227" customFormat="1" customHeight="1" ht="21">
      <c r="A138" s="4183"/>
      <c r="B138" s="4183"/>
      <c r="C138" s="4183"/>
      <c r="D138" s="4183"/>
      <c r="E138" s="4184"/>
      <c r="F138" s="4184" t="s">
        <v>122</v>
      </c>
      <c r="G138" s="4184"/>
      <c r="H138" s="4184"/>
      <c r="I138" s="4185"/>
      <c r="J138" s="4186"/>
      <c r="K138" s="4183"/>
      <c r="L138" s="4187"/>
      <c r="M138" s="4188"/>
      <c r="N138" s="4188"/>
      <c r="O138" s="4188"/>
      <c r="P138" s="4189"/>
      <c r="Q138" s="4189"/>
      <c r="R138" s="4205"/>
      <c r="S138" s="6228"/>
      <c r="T138" s="6229" t="s">
        <v>615</v>
      </c>
      <c r="U138" s="6230"/>
      <c r="V138" s="6231"/>
      <c r="W138" s="6232"/>
      <c r="X138" s="6233"/>
      <c r="Y138" s="6234"/>
      <c r="Z138" s="6235"/>
      <c r="AA138" s="6236"/>
      <c r="AB138" s="6237"/>
      <c r="AC138" s="6238"/>
      <c r="AD138" s="6239"/>
      <c r="AE138" s="6240"/>
      <c r="AF138" s="6241"/>
      <c r="AG138" s="6242"/>
      <c r="AH138" s="6243"/>
      <c r="AI138" s="6244"/>
      <c r="AJ138" s="6245"/>
      <c r="AK138" s="6246"/>
      <c r="AL138" s="6247"/>
      <c r="AM138" s="6248"/>
      <c r="AN138" s="6249"/>
      <c r="AO138" s="6250"/>
      <c r="AP138" s="6251"/>
      <c r="AQ138" s="6252"/>
      <c r="AR138" s="6253"/>
      <c r="AS138" s="6254"/>
      <c r="AT138" s="6255"/>
      <c r="AU138" s="6256"/>
      <c r="AV138" s="6257"/>
      <c r="AW138" s="6258"/>
      <c r="AX138" s="6259"/>
      <c r="AY138" s="6260"/>
      <c r="AZ138" s="6261"/>
      <c r="BA138" s="6262"/>
      <c r="BB138" s="6263"/>
      <c r="BC138" s="6264"/>
      <c r="BD138" s="6265"/>
      <c r="BE138" s="6266"/>
      <c r="BF138" s="6267"/>
      <c r="BG138" s="6268"/>
      <c r="BH138" s="6269"/>
      <c r="BI138" s="6270"/>
      <c r="BJ138" s="6271"/>
      <c r="BK138" s="6272"/>
      <c r="BL138" s="6273"/>
      <c r="BM138" s="6274"/>
      <c r="BN138" s="6275"/>
      <c r="BO138" s="6276"/>
      <c r="BP138" s="6277"/>
      <c r="BQ138" s="6278"/>
      <c r="BR138" s="6279"/>
      <c r="BS138" s="6280"/>
      <c r="BT138" s="6281"/>
      <c r="BU138" s="6282"/>
      <c r="BV138" s="6283"/>
      <c r="BW138" s="6284"/>
      <c r="BX138" s="6285"/>
      <c r="BY138" s="6286"/>
      <c r="BZ138" s="6287"/>
      <c r="CA138" s="6288"/>
      <c r="CB138" s="6289"/>
      <c r="CC138" s="6290"/>
      <c r="CD138" s="6291"/>
      <c r="CE138" s="6292"/>
      <c r="CF138" s="6293"/>
      <c r="CG138" s="6294"/>
      <c r="CH138" s="6295"/>
      <c r="CI138" s="6296"/>
      <c r="CJ138" s="6297"/>
      <c r="CK138" s="6298"/>
      <c r="CL138" s="6299"/>
      <c r="CM138" s="6300"/>
      <c r="CN138" s="6301"/>
      <c r="CO138" s="6302"/>
      <c r="CP138" s="6303"/>
      <c r="CQ138" s="6304"/>
      <c r="CR138" s="6305"/>
      <c r="CS138" s="6306"/>
      <c r="CT138" s="6307"/>
      <c r="CU138" s="6308"/>
      <c r="CV138" s="4287" t="s">
        <v>616</v>
      </c>
      <c r="CW138" s="4093"/>
      <c r="CX138" s="4196"/>
      <c r="CY138" s="4196" t="str">
        <f>IF(T138="","",T138)</f>
        <v>Добавить значение признака дифференциации</v>
      </c>
      <c r="CZ138" s="4196"/>
      <c r="DA138" s="4196"/>
      <c r="DB138" s="3858">
        <v>0</v>
      </c>
    </row>
    <row s="6309" customFormat="1" customHeight="1" ht="23.25">
      <c r="A139" s="4183"/>
      <c r="B139" s="4183"/>
      <c r="C139" s="4183"/>
      <c r="D139" s="4183"/>
      <c r="E139" s="4184"/>
      <c r="F139" s="4184"/>
      <c r="G139" s="4184"/>
      <c r="H139" s="4184"/>
      <c r="I139" s="4185"/>
      <c r="J139" s="4186" t="str">
        <f>I134&amp;".2"</f>
        <v>1.6.1.1.2</v>
      </c>
      <c r="K139" s="4183"/>
      <c r="L139" s="4187" t="s">
        <v>538</v>
      </c>
      <c r="M139" s="4188"/>
      <c r="N139" s="4188"/>
      <c r="O139" s="4188"/>
      <c r="P139" s="4189"/>
      <c r="Q139" s="4190" t="s">
        <v>109</v>
      </c>
      <c r="R139" s="4191"/>
      <c r="S139" s="4192" t="str">
        <f>$J139</f>
        <v>1.6.1.1.2</v>
      </c>
      <c r="T139" s="4193" t="s">
        <v>539</v>
      </c>
      <c r="U139" s="4194"/>
      <c r="V139" s="3874"/>
      <c r="W139" s="3875"/>
      <c r="X139" s="3875"/>
      <c r="Y139" s="3875"/>
      <c r="Z139" s="3875"/>
      <c r="AA139" s="3875"/>
      <c r="AB139" s="3876"/>
      <c r="AC139" s="3874" t="s">
        <v>626</v>
      </c>
      <c r="AD139" s="3875"/>
      <c r="AE139" s="3875"/>
      <c r="AF139" s="3875"/>
      <c r="AG139" s="3875"/>
      <c r="AH139" s="3875"/>
      <c r="AI139" s="3875"/>
      <c r="AJ139" s="3874"/>
      <c r="AK139" s="3875"/>
      <c r="AL139" s="3875"/>
      <c r="AM139" s="3875"/>
      <c r="AN139" s="3875"/>
      <c r="AO139" s="3875"/>
      <c r="AP139" s="3876"/>
      <c r="AQ139" s="3874"/>
      <c r="AR139" s="3875"/>
      <c r="AS139" s="3875"/>
      <c r="AT139" s="3875"/>
      <c r="AU139" s="3875"/>
      <c r="AV139" s="3875"/>
      <c r="AW139" s="3876"/>
      <c r="AX139" s="3874"/>
      <c r="AY139" s="3875"/>
      <c r="AZ139" s="3875"/>
      <c r="BA139" s="3875"/>
      <c r="BB139" s="3875"/>
      <c r="BC139" s="3875"/>
      <c r="BD139" s="3876"/>
      <c r="BE139" s="3874"/>
      <c r="BF139" s="3875"/>
      <c r="BG139" s="3875"/>
      <c r="BH139" s="3875"/>
      <c r="BI139" s="3875"/>
      <c r="BJ139" s="3875"/>
      <c r="BK139" s="3876"/>
      <c r="BL139" s="3874"/>
      <c r="BM139" s="3875"/>
      <c r="BN139" s="3875"/>
      <c r="BO139" s="3875"/>
      <c r="BP139" s="3875"/>
      <c r="BQ139" s="3875"/>
      <c r="BR139" s="3876"/>
      <c r="BS139" s="3874"/>
      <c r="BT139" s="3875"/>
      <c r="BU139" s="3875"/>
      <c r="BV139" s="3875"/>
      <c r="BW139" s="3875"/>
      <c r="BX139" s="3875"/>
      <c r="BY139" s="3876"/>
      <c r="BZ139" s="3874"/>
      <c r="CA139" s="3875"/>
      <c r="CB139" s="3875"/>
      <c r="CC139" s="3875"/>
      <c r="CD139" s="3875"/>
      <c r="CE139" s="3875"/>
      <c r="CF139" s="3876"/>
      <c r="CG139" s="3874"/>
      <c r="CH139" s="3875"/>
      <c r="CI139" s="3875"/>
      <c r="CJ139" s="3875"/>
      <c r="CK139" s="3875"/>
      <c r="CL139" s="3875"/>
      <c r="CM139" s="3876"/>
      <c r="CN139" s="3874"/>
      <c r="CO139" s="3875"/>
      <c r="CP139" s="3875"/>
      <c r="CQ139" s="3875"/>
      <c r="CR139" s="3875"/>
      <c r="CS139" s="3875"/>
      <c r="CT139" s="3876"/>
      <c r="CU139" s="3876"/>
      <c r="CV139" s="4195" t="s">
        <v>614</v>
      </c>
      <c r="CW139" s="4093"/>
      <c r="CX139" s="4196"/>
      <c r="CY139" s="4196" t="str">
        <f>IF(T139="","",T139)</f>
        <v>Группа потребителей</v>
      </c>
      <c r="CZ139" s="4196"/>
      <c r="DA139" s="4196"/>
      <c r="DB139" s="3858">
        <v>0</v>
      </c>
    </row>
    <row s="6310" customFormat="1" customHeight="1" ht="23.25">
      <c r="A140" s="4183"/>
      <c r="B140" s="4183"/>
      <c r="C140" s="4183"/>
      <c r="D140" s="4183"/>
      <c r="E140" s="4184"/>
      <c r="F140" s="4184"/>
      <c r="G140" s="4184"/>
      <c r="H140" s="4184"/>
      <c r="I140" s="4185"/>
      <c r="J140" s="4185" t="str">
        <f>I134&amp;".1"</f>
        <v>1.6.1.1.1</v>
      </c>
      <c r="K140" s="4186" t="str">
        <f>J139&amp;".1"</f>
        <v>1.6.1.1.2.1</v>
      </c>
      <c r="L140" s="4187"/>
      <c r="M140" s="4188"/>
      <c r="N140" s="4188"/>
      <c r="O140" s="4188"/>
      <c r="P140" s="4189"/>
      <c r="Q140" s="4189"/>
      <c r="R140" s="4191">
        <v>1</v>
      </c>
      <c r="S140" s="4192" t="str">
        <f>$K140</f>
        <v>1.6.1.1.2.1</v>
      </c>
      <c r="T140" s="4198"/>
      <c r="U140" s="4194"/>
      <c r="V140" s="3878"/>
      <c r="W140" s="3878"/>
      <c r="X140" s="3879"/>
      <c r="Y140" s="3880"/>
      <c r="Z140" s="3881" t="s">
        <v>65</v>
      </c>
      <c r="AA140" s="3880"/>
      <c r="AB140" s="3881" t="s">
        <v>65</v>
      </c>
      <c r="AC140" s="3878">
        <v>26.94</v>
      </c>
      <c r="AD140" s="3878"/>
      <c r="AE140" s="3879"/>
      <c r="AF140" s="3880">
        <v>45292</v>
      </c>
      <c r="AG140" s="3881" t="s">
        <v>65</v>
      </c>
      <c r="AH140" s="4116">
        <v>45473</v>
      </c>
      <c r="AI140" s="3881" t="s">
        <v>65</v>
      </c>
      <c r="AJ140" s="3878">
        <v>45.28</v>
      </c>
      <c r="AK140" s="3878"/>
      <c r="AL140" s="3879"/>
      <c r="AM140" s="3880">
        <v>45474</v>
      </c>
      <c r="AN140" s="3881" t="s">
        <v>65</v>
      </c>
      <c r="AO140" s="3880">
        <v>45657</v>
      </c>
      <c r="AP140" s="3881" t="s">
        <v>65</v>
      </c>
      <c r="AQ140" s="3878">
        <v>45.28</v>
      </c>
      <c r="AR140" s="3878"/>
      <c r="AS140" s="3879"/>
      <c r="AT140" s="3880">
        <v>45658</v>
      </c>
      <c r="AU140" s="3881" t="s">
        <v>65</v>
      </c>
      <c r="AV140" s="3880">
        <v>45838</v>
      </c>
      <c r="AW140" s="3881" t="s">
        <v>65</v>
      </c>
      <c r="AX140" s="3878">
        <v>47.23</v>
      </c>
      <c r="AY140" s="3878"/>
      <c r="AZ140" s="3879"/>
      <c r="BA140" s="3880">
        <v>45839</v>
      </c>
      <c r="BB140" s="3881" t="s">
        <v>65</v>
      </c>
      <c r="BC140" s="3880">
        <v>46022</v>
      </c>
      <c r="BD140" s="3881" t="s">
        <v>65</v>
      </c>
      <c r="BE140" s="3878">
        <v>39.66</v>
      </c>
      <c r="BF140" s="3878"/>
      <c r="BG140" s="3879"/>
      <c r="BH140" s="3880">
        <v>46023</v>
      </c>
      <c r="BI140" s="3881" t="s">
        <v>65</v>
      </c>
      <c r="BJ140" s="3880">
        <v>46203</v>
      </c>
      <c r="BK140" s="3881" t="s">
        <v>65</v>
      </c>
      <c r="BL140" s="3878">
        <v>46</v>
      </c>
      <c r="BM140" s="3878"/>
      <c r="BN140" s="3879"/>
      <c r="BO140" s="3880">
        <v>46204</v>
      </c>
      <c r="BP140" s="3881" t="s">
        <v>65</v>
      </c>
      <c r="BQ140" s="3880">
        <v>46387</v>
      </c>
      <c r="BR140" s="3881" t="s">
        <v>65</v>
      </c>
      <c r="BS140" s="3878">
        <v>46</v>
      </c>
      <c r="BT140" s="3878"/>
      <c r="BU140" s="3879"/>
      <c r="BV140" s="3880">
        <v>46388</v>
      </c>
      <c r="BW140" s="3881" t="s">
        <v>65</v>
      </c>
      <c r="BX140" s="3880">
        <v>46568</v>
      </c>
      <c r="BY140" s="3881" t="s">
        <v>65</v>
      </c>
      <c r="BZ140" s="3878">
        <v>50.94</v>
      </c>
      <c r="CA140" s="3878"/>
      <c r="CB140" s="3879"/>
      <c r="CC140" s="3880">
        <v>46569</v>
      </c>
      <c r="CD140" s="3881" t="s">
        <v>65</v>
      </c>
      <c r="CE140" s="3880">
        <v>46752</v>
      </c>
      <c r="CF140" s="3881" t="s">
        <v>65</v>
      </c>
      <c r="CG140" s="3878">
        <v>50.94</v>
      </c>
      <c r="CH140" s="3878"/>
      <c r="CI140" s="3879"/>
      <c r="CJ140" s="3880">
        <v>46753</v>
      </c>
      <c r="CK140" s="3881" t="s">
        <v>65</v>
      </c>
      <c r="CL140" s="3880">
        <v>46934</v>
      </c>
      <c r="CM140" s="3881" t="s">
        <v>65</v>
      </c>
      <c r="CN140" s="3878">
        <v>60.03</v>
      </c>
      <c r="CO140" s="3878"/>
      <c r="CP140" s="3879"/>
      <c r="CQ140" s="3880">
        <v>46935</v>
      </c>
      <c r="CR140" s="3881" t="s">
        <v>65</v>
      </c>
      <c r="CS140" s="3880">
        <v>47118</v>
      </c>
      <c r="CT140" s="3881" t="s">
        <v>65</v>
      </c>
      <c r="CU140" s="4199"/>
      <c r="CV14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0" s="4093">
        <f>STRCHECKDATE(V141:CU141)</f>
      </c>
      <c r="CX140" s="4196"/>
      <c r="CY140" s="4196" t="str">
        <f>IF(T140="","",T140)</f>
        <v/>
      </c>
      <c r="CZ140" s="4196"/>
      <c r="DA140" s="4196"/>
      <c r="DB140" s="3858">
        <v>0</v>
      </c>
    </row>
    <row s="6311" customFormat="1" customHeight="1" ht="14.25">
      <c r="A141" s="4183"/>
      <c r="B141" s="4183"/>
      <c r="C141" s="4183"/>
      <c r="D141" s="4183"/>
      <c r="E141" s="4184"/>
      <c r="F141" s="4184"/>
      <c r="G141" s="4184"/>
      <c r="H141" s="4184"/>
      <c r="I141" s="4185"/>
      <c r="J141" s="4185" t="str">
        <f>I134&amp;".1"</f>
        <v>1.6.1.1.1</v>
      </c>
      <c r="K141" s="4186"/>
      <c r="L141" s="4187"/>
      <c r="M141" s="4188"/>
      <c r="N141" s="4188"/>
      <c r="O141" s="4188"/>
      <c r="P141" s="4189"/>
      <c r="Q141" s="4189"/>
      <c r="R141" s="4191"/>
      <c r="S141" s="4202"/>
      <c r="T141" s="4194"/>
      <c r="U141" s="4194"/>
      <c r="V141" s="3885"/>
      <c r="W141" s="3885"/>
      <c r="X141" s="3886" t="str">
        <f>Y140&amp;"-"&amp;AA140</f>
        <v>-</v>
      </c>
      <c r="Y141" s="3887"/>
      <c r="Z141" s="3881"/>
      <c r="AA141" s="3887"/>
      <c r="AB141" s="3881"/>
      <c r="AC141" s="3885"/>
      <c r="AD141" s="3885"/>
      <c r="AE141" s="3886" t="str">
        <f>AF140&amp;"-"&amp;AH140</f>
        <v>45292-45473</v>
      </c>
      <c r="AF141" s="3887"/>
      <c r="AG141" s="3881"/>
      <c r="AH141" s="4118"/>
      <c r="AI141" s="3881"/>
      <c r="AJ141" s="3885"/>
      <c r="AK141" s="3885"/>
      <c r="AL141" s="3886" t="str">
        <f>AM140&amp;"-"&amp;AO140</f>
        <v>45474-45657</v>
      </c>
      <c r="AM141" s="3887"/>
      <c r="AN141" s="3881"/>
      <c r="AO141" s="3887"/>
      <c r="AP141" s="3881"/>
      <c r="AQ141" s="3885"/>
      <c r="AR141" s="3885"/>
      <c r="AS141" s="3886" t="str">
        <f>AT140&amp;"-"&amp;AV140</f>
        <v>45658-45838</v>
      </c>
      <c r="AT141" s="3887"/>
      <c r="AU141" s="3881"/>
      <c r="AV141" s="3887"/>
      <c r="AW141" s="3881"/>
      <c r="AX141" s="3885"/>
      <c r="AY141" s="3885"/>
      <c r="AZ141" s="3886" t="str">
        <f>BA140&amp;"-"&amp;BC140</f>
        <v>45839-46022</v>
      </c>
      <c r="BA141" s="3887"/>
      <c r="BB141" s="3881"/>
      <c r="BC141" s="3887"/>
      <c r="BD141" s="3881"/>
      <c r="BE141" s="3885"/>
      <c r="BF141" s="3885"/>
      <c r="BG141" s="3886" t="str">
        <f>BH140&amp;"-"&amp;BJ140</f>
        <v>46023-46203</v>
      </c>
      <c r="BH141" s="3887"/>
      <c r="BI141" s="3881"/>
      <c r="BJ141" s="3887"/>
      <c r="BK141" s="3881"/>
      <c r="BL141" s="3885"/>
      <c r="BM141" s="3885"/>
      <c r="BN141" s="3886" t="str">
        <f>BO140&amp;"-"&amp;BQ140</f>
        <v>46204-46387</v>
      </c>
      <c r="BO141" s="3887"/>
      <c r="BP141" s="3881"/>
      <c r="BQ141" s="3887"/>
      <c r="BR141" s="3881"/>
      <c r="BS141" s="3885"/>
      <c r="BT141" s="3885"/>
      <c r="BU141" s="3886" t="str">
        <f>BV140&amp;"-"&amp;BX140</f>
        <v>46388-46568</v>
      </c>
      <c r="BV141" s="3887"/>
      <c r="BW141" s="3881"/>
      <c r="BX141" s="3887"/>
      <c r="BY141" s="3881"/>
      <c r="BZ141" s="3885"/>
      <c r="CA141" s="3885"/>
      <c r="CB141" s="3886" t="str">
        <f>CC140&amp;"-"&amp;CE140</f>
        <v>46569-46752</v>
      </c>
      <c r="CC141" s="3887"/>
      <c r="CD141" s="3881"/>
      <c r="CE141" s="3887"/>
      <c r="CF141" s="3881"/>
      <c r="CG141" s="3885"/>
      <c r="CH141" s="3885"/>
      <c r="CI141" s="3886" t="str">
        <f>CJ140&amp;"-"&amp;CL140</f>
        <v>46753-46934</v>
      </c>
      <c r="CJ141" s="3887"/>
      <c r="CK141" s="3881"/>
      <c r="CL141" s="3887"/>
      <c r="CM141" s="3881"/>
      <c r="CN141" s="3885"/>
      <c r="CO141" s="3885"/>
      <c r="CP141" s="3886" t="str">
        <f>CQ140&amp;"-"&amp;CS140</f>
        <v>46935-47118</v>
      </c>
      <c r="CQ141" s="3887"/>
      <c r="CR141" s="3881"/>
      <c r="CS141" s="3887"/>
      <c r="CT141" s="3881"/>
      <c r="CU141" s="4203"/>
      <c r="CV141" s="4200"/>
      <c r="CW141" s="4093"/>
      <c r="CX141" s="4196"/>
      <c r="CY141" s="4196" t="str">
        <f>IF(T141="","",T141)</f>
        <v/>
      </c>
      <c r="CZ141" s="4196"/>
      <c r="DA141" s="4196"/>
      <c r="DB141" s="3858">
        <v>0</v>
      </c>
    </row>
    <row s="6312" customFormat="1" customHeight="1" ht="21">
      <c r="A142" s="4183"/>
      <c r="B142" s="4183"/>
      <c r="C142" s="4183"/>
      <c r="D142" s="4183"/>
      <c r="E142" s="4184"/>
      <c r="F142" s="4184"/>
      <c r="G142" s="4184"/>
      <c r="H142" s="4184"/>
      <c r="I142" s="4185"/>
      <c r="J142" s="4186" t="str">
        <f>I134&amp;".1"</f>
        <v>1.6.1.1.1</v>
      </c>
      <c r="K142" s="4183"/>
      <c r="L142" s="4187"/>
      <c r="M142" s="4188"/>
      <c r="N142" s="4188"/>
      <c r="O142" s="4188"/>
      <c r="P142" s="4189"/>
      <c r="Q142" s="4189"/>
      <c r="R142" s="4205"/>
      <c r="S142" s="6313"/>
      <c r="T142" s="6314" t="s">
        <v>615</v>
      </c>
      <c r="U142" s="6315"/>
      <c r="V142" s="6316"/>
      <c r="W142" s="6317"/>
      <c r="X142" s="6318"/>
      <c r="Y142" s="6319"/>
      <c r="Z142" s="6320"/>
      <c r="AA142" s="6321"/>
      <c r="AB142" s="6322"/>
      <c r="AC142" s="6323"/>
      <c r="AD142" s="6324"/>
      <c r="AE142" s="6325"/>
      <c r="AF142" s="6326"/>
      <c r="AG142" s="6327"/>
      <c r="AH142" s="6328"/>
      <c r="AI142" s="6329"/>
      <c r="AJ142" s="6330"/>
      <c r="AK142" s="6331"/>
      <c r="AL142" s="6332"/>
      <c r="AM142" s="6333"/>
      <c r="AN142" s="6334"/>
      <c r="AO142" s="6335"/>
      <c r="AP142" s="6336"/>
      <c r="AQ142" s="6337"/>
      <c r="AR142" s="6338"/>
      <c r="AS142" s="6339"/>
      <c r="AT142" s="6340"/>
      <c r="AU142" s="6341"/>
      <c r="AV142" s="6342"/>
      <c r="AW142" s="6343"/>
      <c r="AX142" s="6344"/>
      <c r="AY142" s="6345"/>
      <c r="AZ142" s="6346"/>
      <c r="BA142" s="6347"/>
      <c r="BB142" s="6348"/>
      <c r="BC142" s="6349"/>
      <c r="BD142" s="6350"/>
      <c r="BE142" s="6351"/>
      <c r="BF142" s="6352"/>
      <c r="BG142" s="6353"/>
      <c r="BH142" s="6354"/>
      <c r="BI142" s="6355"/>
      <c r="BJ142" s="6356"/>
      <c r="BK142" s="6357"/>
      <c r="BL142" s="6358"/>
      <c r="BM142" s="6359"/>
      <c r="BN142" s="6360"/>
      <c r="BO142" s="6361"/>
      <c r="BP142" s="6362"/>
      <c r="BQ142" s="6363"/>
      <c r="BR142" s="6364"/>
      <c r="BS142" s="6365"/>
      <c r="BT142" s="6366"/>
      <c r="BU142" s="6367"/>
      <c r="BV142" s="6368"/>
      <c r="BW142" s="6369"/>
      <c r="BX142" s="6370"/>
      <c r="BY142" s="6371"/>
      <c r="BZ142" s="6372"/>
      <c r="CA142" s="6373"/>
      <c r="CB142" s="6374"/>
      <c r="CC142" s="6375"/>
      <c r="CD142" s="6376"/>
      <c r="CE142" s="6377"/>
      <c r="CF142" s="6378"/>
      <c r="CG142" s="6379"/>
      <c r="CH142" s="6380"/>
      <c r="CI142" s="6381"/>
      <c r="CJ142" s="6382"/>
      <c r="CK142" s="6383"/>
      <c r="CL142" s="6384"/>
      <c r="CM142" s="6385"/>
      <c r="CN142" s="6386"/>
      <c r="CO142" s="6387"/>
      <c r="CP142" s="6388"/>
      <c r="CQ142" s="6389"/>
      <c r="CR142" s="6390"/>
      <c r="CS142" s="6391"/>
      <c r="CT142" s="6392"/>
      <c r="CU142" s="6393"/>
      <c r="CV142" s="4287" t="s">
        <v>616</v>
      </c>
      <c r="CW142" s="4093"/>
      <c r="CX142" s="4196"/>
      <c r="CY142" s="4196" t="str">
        <f>IF(T142="","",T142)</f>
        <v>Добавить значение признака дифференциации</v>
      </c>
      <c r="CZ142" s="4196"/>
      <c r="DA142" s="4196"/>
      <c r="DB142" s="3858">
        <v>0</v>
      </c>
    </row>
    <row s="6394" customFormat="1" customHeight="1" ht="23.25">
      <c r="A143" s="4183"/>
      <c r="B143" s="4183"/>
      <c r="C143" s="4183"/>
      <c r="D143" s="4183"/>
      <c r="E143" s="4184"/>
      <c r="F143" s="4184"/>
      <c r="G143" s="4184"/>
      <c r="H143" s="4184"/>
      <c r="I143" s="4185"/>
      <c r="J143" s="4186" t="str">
        <f>I134&amp;".3"</f>
        <v>1.6.1.1.3</v>
      </c>
      <c r="K143" s="4183"/>
      <c r="L143" s="4187" t="s">
        <v>538</v>
      </c>
      <c r="M143" s="4188"/>
      <c r="N143" s="4188"/>
      <c r="O143" s="4188"/>
      <c r="P143" s="4189"/>
      <c r="Q143" s="4190" t="s">
        <v>109</v>
      </c>
      <c r="R143" s="4191"/>
      <c r="S143" s="4192" t="str">
        <f>$J143</f>
        <v>1.6.1.1.3</v>
      </c>
      <c r="T143" s="4193" t="s">
        <v>539</v>
      </c>
      <c r="U143" s="4194"/>
      <c r="V143" s="3874"/>
      <c r="W143" s="3875"/>
      <c r="X143" s="3875"/>
      <c r="Y143" s="3875"/>
      <c r="Z143" s="3875"/>
      <c r="AA143" s="3875"/>
      <c r="AB143" s="3876"/>
      <c r="AC143" s="3874" t="s">
        <v>627</v>
      </c>
      <c r="AD143" s="3875"/>
      <c r="AE143" s="3875"/>
      <c r="AF143" s="3875"/>
      <c r="AG143" s="3875"/>
      <c r="AH143" s="3875"/>
      <c r="AI143" s="3875"/>
      <c r="AJ143" s="3874"/>
      <c r="AK143" s="3875"/>
      <c r="AL143" s="3875"/>
      <c r="AM143" s="3875"/>
      <c r="AN143" s="3875"/>
      <c r="AO143" s="3875"/>
      <c r="AP143" s="3876"/>
      <c r="AQ143" s="3874"/>
      <c r="AR143" s="3875"/>
      <c r="AS143" s="3875"/>
      <c r="AT143" s="3875"/>
      <c r="AU143" s="3875"/>
      <c r="AV143" s="3875"/>
      <c r="AW143" s="3876"/>
      <c r="AX143" s="3874"/>
      <c r="AY143" s="3875"/>
      <c r="AZ143" s="3875"/>
      <c r="BA143" s="3875"/>
      <c r="BB143" s="3875"/>
      <c r="BC143" s="3875"/>
      <c r="BD143" s="3876"/>
      <c r="BE143" s="3874"/>
      <c r="BF143" s="3875"/>
      <c r="BG143" s="3875"/>
      <c r="BH143" s="3875"/>
      <c r="BI143" s="3875"/>
      <c r="BJ143" s="3875"/>
      <c r="BK143" s="3876"/>
      <c r="BL143" s="3874"/>
      <c r="BM143" s="3875"/>
      <c r="BN143" s="3875"/>
      <c r="BO143" s="3875"/>
      <c r="BP143" s="3875"/>
      <c r="BQ143" s="3875"/>
      <c r="BR143" s="3876"/>
      <c r="BS143" s="3874"/>
      <c r="BT143" s="3875"/>
      <c r="BU143" s="3875"/>
      <c r="BV143" s="3875"/>
      <c r="BW143" s="3875"/>
      <c r="BX143" s="3875"/>
      <c r="BY143" s="3876"/>
      <c r="BZ143" s="3874"/>
      <c r="CA143" s="3875"/>
      <c r="CB143" s="3875"/>
      <c r="CC143" s="3875"/>
      <c r="CD143" s="3875"/>
      <c r="CE143" s="3875"/>
      <c r="CF143" s="3876"/>
      <c r="CG143" s="3874"/>
      <c r="CH143" s="3875"/>
      <c r="CI143" s="3875"/>
      <c r="CJ143" s="3875"/>
      <c r="CK143" s="3875"/>
      <c r="CL143" s="3875"/>
      <c r="CM143" s="3876"/>
      <c r="CN143" s="3874"/>
      <c r="CO143" s="3875"/>
      <c r="CP143" s="3875"/>
      <c r="CQ143" s="3875"/>
      <c r="CR143" s="3875"/>
      <c r="CS143" s="3875"/>
      <c r="CT143" s="3876"/>
      <c r="CU143" s="3876"/>
      <c r="CV143" s="4195" t="s">
        <v>614</v>
      </c>
      <c r="CW143" s="4093"/>
      <c r="CX143" s="4196"/>
      <c r="CY143" s="4196" t="str">
        <f>IF(T143="","",T143)</f>
        <v>Группа потребителей</v>
      </c>
      <c r="CZ143" s="4196"/>
      <c r="DA143" s="4196"/>
      <c r="DB143" s="3858">
        <v>0</v>
      </c>
    </row>
    <row s="6395" customFormat="1" customHeight="1" ht="23.25">
      <c r="A144" s="4183"/>
      <c r="B144" s="4183"/>
      <c r="C144" s="4183"/>
      <c r="D144" s="4183"/>
      <c r="E144" s="4184"/>
      <c r="F144" s="4184"/>
      <c r="G144" s="4184"/>
      <c r="H144" s="4184"/>
      <c r="I144" s="4185"/>
      <c r="J144" s="4185" t="str">
        <f>I134&amp;".2"</f>
        <v>1.6.1.1.2</v>
      </c>
      <c r="K144" s="4186" t="str">
        <f>J143&amp;".1"</f>
        <v>1.6.1.1.3.1</v>
      </c>
      <c r="L144" s="4187"/>
      <c r="M144" s="4188"/>
      <c r="N144" s="4188"/>
      <c r="O144" s="4188"/>
      <c r="P144" s="4189"/>
      <c r="Q144" s="4189"/>
      <c r="R144" s="4191">
        <v>1</v>
      </c>
      <c r="S144" s="4192" t="str">
        <f>$K144</f>
        <v>1.6.1.1.3.1</v>
      </c>
      <c r="T144" s="4198"/>
      <c r="U144" s="4194"/>
      <c r="V144" s="3878"/>
      <c r="W144" s="3878"/>
      <c r="X144" s="3879"/>
      <c r="Y144" s="3880"/>
      <c r="Z144" s="3881" t="s">
        <v>65</v>
      </c>
      <c r="AA144" s="3880"/>
      <c r="AB144" s="3881" t="s">
        <v>65</v>
      </c>
      <c r="AC144" s="3878">
        <v>26.94</v>
      </c>
      <c r="AD144" s="3878"/>
      <c r="AE144" s="3879"/>
      <c r="AF144" s="3880">
        <v>45292</v>
      </c>
      <c r="AG144" s="3881" t="s">
        <v>65</v>
      </c>
      <c r="AH144" s="4116">
        <v>45473</v>
      </c>
      <c r="AI144" s="3881" t="s">
        <v>65</v>
      </c>
      <c r="AJ144" s="3878">
        <v>45.28</v>
      </c>
      <c r="AK144" s="3878"/>
      <c r="AL144" s="3879"/>
      <c r="AM144" s="3880">
        <v>45474</v>
      </c>
      <c r="AN144" s="3881" t="s">
        <v>65</v>
      </c>
      <c r="AO144" s="3880">
        <v>45657</v>
      </c>
      <c r="AP144" s="3881" t="s">
        <v>65</v>
      </c>
      <c r="AQ144" s="3878">
        <v>45.28</v>
      </c>
      <c r="AR144" s="3878"/>
      <c r="AS144" s="3879"/>
      <c r="AT144" s="3880">
        <v>45658</v>
      </c>
      <c r="AU144" s="3881" t="s">
        <v>65</v>
      </c>
      <c r="AV144" s="3880">
        <v>45838</v>
      </c>
      <c r="AW144" s="3881" t="s">
        <v>65</v>
      </c>
      <c r="AX144" s="3878">
        <v>47.23</v>
      </c>
      <c r="AY144" s="3878"/>
      <c r="AZ144" s="3879"/>
      <c r="BA144" s="3880">
        <v>45839</v>
      </c>
      <c r="BB144" s="3881" t="s">
        <v>65</v>
      </c>
      <c r="BC144" s="3880">
        <v>46022</v>
      </c>
      <c r="BD144" s="3881" t="s">
        <v>65</v>
      </c>
      <c r="BE144" s="3878">
        <v>39.66</v>
      </c>
      <c r="BF144" s="3878"/>
      <c r="BG144" s="3879"/>
      <c r="BH144" s="3880">
        <v>46023</v>
      </c>
      <c r="BI144" s="3881" t="s">
        <v>65</v>
      </c>
      <c r="BJ144" s="3880">
        <v>46203</v>
      </c>
      <c r="BK144" s="3881" t="s">
        <v>65</v>
      </c>
      <c r="BL144" s="3878">
        <v>46</v>
      </c>
      <c r="BM144" s="3878"/>
      <c r="BN144" s="3879"/>
      <c r="BO144" s="3880">
        <v>46204</v>
      </c>
      <c r="BP144" s="3881" t="s">
        <v>65</v>
      </c>
      <c r="BQ144" s="3880">
        <v>46387</v>
      </c>
      <c r="BR144" s="3881" t="s">
        <v>65</v>
      </c>
      <c r="BS144" s="3878">
        <v>46</v>
      </c>
      <c r="BT144" s="3878"/>
      <c r="BU144" s="3879"/>
      <c r="BV144" s="3880">
        <v>46388</v>
      </c>
      <c r="BW144" s="3881" t="s">
        <v>65</v>
      </c>
      <c r="BX144" s="3880">
        <v>46568</v>
      </c>
      <c r="BY144" s="3881" t="s">
        <v>65</v>
      </c>
      <c r="BZ144" s="3878">
        <v>50.94</v>
      </c>
      <c r="CA144" s="3878"/>
      <c r="CB144" s="3879"/>
      <c r="CC144" s="3880">
        <v>46569</v>
      </c>
      <c r="CD144" s="3881" t="s">
        <v>65</v>
      </c>
      <c r="CE144" s="3880">
        <v>46752</v>
      </c>
      <c r="CF144" s="3881" t="s">
        <v>65</v>
      </c>
      <c r="CG144" s="3878">
        <v>50.94</v>
      </c>
      <c r="CH144" s="3878"/>
      <c r="CI144" s="3879"/>
      <c r="CJ144" s="3880">
        <v>46753</v>
      </c>
      <c r="CK144" s="3881" t="s">
        <v>65</v>
      </c>
      <c r="CL144" s="3880">
        <v>46934</v>
      </c>
      <c r="CM144" s="3881" t="s">
        <v>65</v>
      </c>
      <c r="CN144" s="3878">
        <v>60.03</v>
      </c>
      <c r="CO144" s="3878"/>
      <c r="CP144" s="3879"/>
      <c r="CQ144" s="3880">
        <v>46935</v>
      </c>
      <c r="CR144" s="3881" t="s">
        <v>65</v>
      </c>
      <c r="CS144" s="3880">
        <v>47118</v>
      </c>
      <c r="CT144" s="3881" t="s">
        <v>65</v>
      </c>
      <c r="CU144" s="4199"/>
      <c r="CV14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4" s="4093">
        <f>STRCHECKDATE(V145:CU145)</f>
      </c>
      <c r="CX144" s="4196"/>
      <c r="CY144" s="4196" t="str">
        <f>IF(T144="","",T144)</f>
        <v/>
      </c>
      <c r="CZ144" s="4196"/>
      <c r="DA144" s="4196"/>
      <c r="DB144" s="3858">
        <v>0</v>
      </c>
    </row>
    <row s="6396" customFormat="1" customHeight="1" ht="14.25">
      <c r="A145" s="4183"/>
      <c r="B145" s="4183"/>
      <c r="C145" s="4183"/>
      <c r="D145" s="4183"/>
      <c r="E145" s="4184"/>
      <c r="F145" s="4184"/>
      <c r="G145" s="4184"/>
      <c r="H145" s="4184"/>
      <c r="I145" s="4185"/>
      <c r="J145" s="4185" t="str">
        <f>I134&amp;".2"</f>
        <v>1.6.1.1.2</v>
      </c>
      <c r="K145" s="4186"/>
      <c r="L145" s="4187"/>
      <c r="M145" s="4188"/>
      <c r="N145" s="4188"/>
      <c r="O145" s="4188"/>
      <c r="P145" s="4189"/>
      <c r="Q145" s="4189"/>
      <c r="R145" s="4191"/>
      <c r="S145" s="4202"/>
      <c r="T145" s="4194"/>
      <c r="U145" s="4194"/>
      <c r="V145" s="3885"/>
      <c r="W145" s="3885"/>
      <c r="X145" s="3886" t="str">
        <f>Y144&amp;"-"&amp;AA144</f>
        <v>-</v>
      </c>
      <c r="Y145" s="3887"/>
      <c r="Z145" s="3881"/>
      <c r="AA145" s="3887"/>
      <c r="AB145" s="3881"/>
      <c r="AC145" s="3885"/>
      <c r="AD145" s="3885"/>
      <c r="AE145" s="3886" t="str">
        <f>AF144&amp;"-"&amp;AH144</f>
        <v>45292-45473</v>
      </c>
      <c r="AF145" s="3887"/>
      <c r="AG145" s="3881"/>
      <c r="AH145" s="4118"/>
      <c r="AI145" s="3881"/>
      <c r="AJ145" s="3885"/>
      <c r="AK145" s="3885"/>
      <c r="AL145" s="3886" t="str">
        <f>AM144&amp;"-"&amp;AO144</f>
        <v>45474-45657</v>
      </c>
      <c r="AM145" s="3887"/>
      <c r="AN145" s="3881"/>
      <c r="AO145" s="3887"/>
      <c r="AP145" s="3881"/>
      <c r="AQ145" s="3885"/>
      <c r="AR145" s="3885"/>
      <c r="AS145" s="3886" t="str">
        <f>AT144&amp;"-"&amp;AV144</f>
        <v>45658-45838</v>
      </c>
      <c r="AT145" s="3887"/>
      <c r="AU145" s="3881"/>
      <c r="AV145" s="3887"/>
      <c r="AW145" s="3881"/>
      <c r="AX145" s="3885"/>
      <c r="AY145" s="3885"/>
      <c r="AZ145" s="3886" t="str">
        <f>BA144&amp;"-"&amp;BC144</f>
        <v>45839-46022</v>
      </c>
      <c r="BA145" s="3887"/>
      <c r="BB145" s="3881"/>
      <c r="BC145" s="3887"/>
      <c r="BD145" s="3881"/>
      <c r="BE145" s="3885"/>
      <c r="BF145" s="3885"/>
      <c r="BG145" s="3886" t="str">
        <f>BH144&amp;"-"&amp;BJ144</f>
        <v>46023-46203</v>
      </c>
      <c r="BH145" s="3887"/>
      <c r="BI145" s="3881"/>
      <c r="BJ145" s="3887"/>
      <c r="BK145" s="3881"/>
      <c r="BL145" s="3885"/>
      <c r="BM145" s="3885"/>
      <c r="BN145" s="3886" t="str">
        <f>BO144&amp;"-"&amp;BQ144</f>
        <v>46204-46387</v>
      </c>
      <c r="BO145" s="3887"/>
      <c r="BP145" s="3881"/>
      <c r="BQ145" s="3887"/>
      <c r="BR145" s="3881"/>
      <c r="BS145" s="3885"/>
      <c r="BT145" s="3885"/>
      <c r="BU145" s="3886" t="str">
        <f>BV144&amp;"-"&amp;BX144</f>
        <v>46388-46568</v>
      </c>
      <c r="BV145" s="3887"/>
      <c r="BW145" s="3881"/>
      <c r="BX145" s="3887"/>
      <c r="BY145" s="3881"/>
      <c r="BZ145" s="3885"/>
      <c r="CA145" s="3885"/>
      <c r="CB145" s="3886" t="str">
        <f>CC144&amp;"-"&amp;CE144</f>
        <v>46569-46752</v>
      </c>
      <c r="CC145" s="3887"/>
      <c r="CD145" s="3881"/>
      <c r="CE145" s="3887"/>
      <c r="CF145" s="3881"/>
      <c r="CG145" s="3885"/>
      <c r="CH145" s="3885"/>
      <c r="CI145" s="3886" t="str">
        <f>CJ144&amp;"-"&amp;CL144</f>
        <v>46753-46934</v>
      </c>
      <c r="CJ145" s="3887"/>
      <c r="CK145" s="3881"/>
      <c r="CL145" s="3887"/>
      <c r="CM145" s="3881"/>
      <c r="CN145" s="3885"/>
      <c r="CO145" s="3885"/>
      <c r="CP145" s="3886" t="str">
        <f>CQ144&amp;"-"&amp;CS144</f>
        <v>46935-47118</v>
      </c>
      <c r="CQ145" s="3887"/>
      <c r="CR145" s="3881"/>
      <c r="CS145" s="3887"/>
      <c r="CT145" s="3881"/>
      <c r="CU145" s="4203"/>
      <c r="CV145" s="4200"/>
      <c r="CW145" s="4093"/>
      <c r="CX145" s="4196"/>
      <c r="CY145" s="4196" t="str">
        <f>IF(T145="","",T145)</f>
        <v/>
      </c>
      <c r="CZ145" s="4196"/>
      <c r="DA145" s="4196"/>
      <c r="DB145" s="3858">
        <v>0</v>
      </c>
    </row>
    <row s="6397" customFormat="1" customHeight="1" ht="21">
      <c r="A146" s="4183"/>
      <c r="B146" s="4183"/>
      <c r="C146" s="4183"/>
      <c r="D146" s="4183"/>
      <c r="E146" s="4184"/>
      <c r="F146" s="4184"/>
      <c r="G146" s="4184"/>
      <c r="H146" s="4184"/>
      <c r="I146" s="4185"/>
      <c r="J146" s="4186" t="str">
        <f>I134&amp;".2"</f>
        <v>1.6.1.1.2</v>
      </c>
      <c r="K146" s="4183"/>
      <c r="L146" s="4187"/>
      <c r="M146" s="4188"/>
      <c r="N146" s="4188"/>
      <c r="O146" s="4188"/>
      <c r="P146" s="4189"/>
      <c r="Q146" s="4189"/>
      <c r="R146" s="4205"/>
      <c r="S146" s="6398"/>
      <c r="T146" s="6399" t="s">
        <v>615</v>
      </c>
      <c r="U146" s="6400"/>
      <c r="V146" s="6401"/>
      <c r="W146" s="6402"/>
      <c r="X146" s="6403"/>
      <c r="Y146" s="6404"/>
      <c r="Z146" s="6405"/>
      <c r="AA146" s="6406"/>
      <c r="AB146" s="6407"/>
      <c r="AC146" s="6408"/>
      <c r="AD146" s="6409"/>
      <c r="AE146" s="6410"/>
      <c r="AF146" s="6411"/>
      <c r="AG146" s="6412"/>
      <c r="AH146" s="6413"/>
      <c r="AI146" s="6414"/>
      <c r="AJ146" s="6415"/>
      <c r="AK146" s="6416"/>
      <c r="AL146" s="6417"/>
      <c r="AM146" s="6418"/>
      <c r="AN146" s="6419"/>
      <c r="AO146" s="6420"/>
      <c r="AP146" s="6421"/>
      <c r="AQ146" s="6422"/>
      <c r="AR146" s="6423"/>
      <c r="AS146" s="6424"/>
      <c r="AT146" s="6425"/>
      <c r="AU146" s="6426"/>
      <c r="AV146" s="6427"/>
      <c r="AW146" s="6428"/>
      <c r="AX146" s="6429"/>
      <c r="AY146" s="6430"/>
      <c r="AZ146" s="6431"/>
      <c r="BA146" s="6432"/>
      <c r="BB146" s="6433"/>
      <c r="BC146" s="6434"/>
      <c r="BD146" s="6435"/>
      <c r="BE146" s="6436"/>
      <c r="BF146" s="6437"/>
      <c r="BG146" s="6438"/>
      <c r="BH146" s="6439"/>
      <c r="BI146" s="6440"/>
      <c r="BJ146" s="6441"/>
      <c r="BK146" s="6442"/>
      <c r="BL146" s="6443"/>
      <c r="BM146" s="6444"/>
      <c r="BN146" s="6445"/>
      <c r="BO146" s="6446"/>
      <c r="BP146" s="6447"/>
      <c r="BQ146" s="6448"/>
      <c r="BR146" s="6449"/>
      <c r="BS146" s="6450"/>
      <c r="BT146" s="6451"/>
      <c r="BU146" s="6452"/>
      <c r="BV146" s="6453"/>
      <c r="BW146" s="6454"/>
      <c r="BX146" s="6455"/>
      <c r="BY146" s="6456"/>
      <c r="BZ146" s="6457"/>
      <c r="CA146" s="6458"/>
      <c r="CB146" s="6459"/>
      <c r="CC146" s="6460"/>
      <c r="CD146" s="6461"/>
      <c r="CE146" s="6462"/>
      <c r="CF146" s="6463"/>
      <c r="CG146" s="6464"/>
      <c r="CH146" s="6465"/>
      <c r="CI146" s="6466"/>
      <c r="CJ146" s="6467"/>
      <c r="CK146" s="6468"/>
      <c r="CL146" s="6469"/>
      <c r="CM146" s="6470"/>
      <c r="CN146" s="6471"/>
      <c r="CO146" s="6472"/>
      <c r="CP146" s="6473"/>
      <c r="CQ146" s="6474"/>
      <c r="CR146" s="6475"/>
      <c r="CS146" s="6476"/>
      <c r="CT146" s="6477"/>
      <c r="CU146" s="6478"/>
      <c r="CV146" s="4287" t="s">
        <v>616</v>
      </c>
      <c r="CW146" s="4093"/>
      <c r="CX146" s="4196"/>
      <c r="CY146" s="4196" t="str">
        <f>IF(T146="","",T146)</f>
        <v>Добавить значение признака дифференциации</v>
      </c>
      <c r="CZ146" s="4196"/>
      <c r="DA146" s="4196"/>
      <c r="DB146" s="3858">
        <v>0</v>
      </c>
    </row>
    <row s="6479" customFormat="1" customHeight="1" ht="23.25">
      <c r="A147" s="4183"/>
      <c r="B147" s="4183"/>
      <c r="C147" s="4183"/>
      <c r="D147" s="4183"/>
      <c r="E147" s="4184"/>
      <c r="F147" s="4184"/>
      <c r="G147" s="4184"/>
      <c r="H147" s="4184"/>
      <c r="I147" s="4185"/>
      <c r="J147" s="4186" t="str">
        <f>I134&amp;".4"</f>
        <v>1.6.1.1.4</v>
      </c>
      <c r="K147" s="4183"/>
      <c r="L147" s="4187" t="s">
        <v>538</v>
      </c>
      <c r="M147" s="4188"/>
      <c r="N147" s="4188"/>
      <c r="O147" s="4188"/>
      <c r="P147" s="4189"/>
      <c r="Q147" s="4190" t="s">
        <v>109</v>
      </c>
      <c r="R147" s="4191"/>
      <c r="S147" s="4192" t="str">
        <f>$J147</f>
        <v>1.6.1.1.4</v>
      </c>
      <c r="T147" s="4193" t="s">
        <v>539</v>
      </c>
      <c r="U147" s="4194"/>
      <c r="V147" s="3874"/>
      <c r="W147" s="3875"/>
      <c r="X147" s="3875"/>
      <c r="Y147" s="3875"/>
      <c r="Z147" s="3875"/>
      <c r="AA147" s="3875"/>
      <c r="AB147" s="3876"/>
      <c r="AC147" s="3874" t="s">
        <v>627</v>
      </c>
      <c r="AD147" s="3875"/>
      <c r="AE147" s="3875"/>
      <c r="AF147" s="3875"/>
      <c r="AG147" s="3875"/>
      <c r="AH147" s="3875"/>
      <c r="AI147" s="3875"/>
      <c r="AJ147" s="3874"/>
      <c r="AK147" s="3875"/>
      <c r="AL147" s="3875"/>
      <c r="AM147" s="3875"/>
      <c r="AN147" s="3875"/>
      <c r="AO147" s="3875"/>
      <c r="AP147" s="3876"/>
      <c r="AQ147" s="3874"/>
      <c r="AR147" s="3875"/>
      <c r="AS147" s="3875"/>
      <c r="AT147" s="3875"/>
      <c r="AU147" s="3875"/>
      <c r="AV147" s="3875"/>
      <c r="AW147" s="3876"/>
      <c r="AX147" s="3874"/>
      <c r="AY147" s="3875"/>
      <c r="AZ147" s="3875"/>
      <c r="BA147" s="3875"/>
      <c r="BB147" s="3875"/>
      <c r="BC147" s="3875"/>
      <c r="BD147" s="3876"/>
      <c r="BE147" s="3874"/>
      <c r="BF147" s="3875"/>
      <c r="BG147" s="3875"/>
      <c r="BH147" s="3875"/>
      <c r="BI147" s="3875"/>
      <c r="BJ147" s="3875"/>
      <c r="BK147" s="3876"/>
      <c r="BL147" s="3874"/>
      <c r="BM147" s="3875"/>
      <c r="BN147" s="3875"/>
      <c r="BO147" s="3875"/>
      <c r="BP147" s="3875"/>
      <c r="BQ147" s="3875"/>
      <c r="BR147" s="3876"/>
      <c r="BS147" s="3874"/>
      <c r="BT147" s="3875"/>
      <c r="BU147" s="3875"/>
      <c r="BV147" s="3875"/>
      <c r="BW147" s="3875"/>
      <c r="BX147" s="3875"/>
      <c r="BY147" s="3876"/>
      <c r="BZ147" s="3874"/>
      <c r="CA147" s="3875"/>
      <c r="CB147" s="3875"/>
      <c r="CC147" s="3875"/>
      <c r="CD147" s="3875"/>
      <c r="CE147" s="3875"/>
      <c r="CF147" s="3876"/>
      <c r="CG147" s="3874"/>
      <c r="CH147" s="3875"/>
      <c r="CI147" s="3875"/>
      <c r="CJ147" s="3875"/>
      <c r="CK147" s="3875"/>
      <c r="CL147" s="3875"/>
      <c r="CM147" s="3876"/>
      <c r="CN147" s="3874"/>
      <c r="CO147" s="3875"/>
      <c r="CP147" s="3875"/>
      <c r="CQ147" s="3875"/>
      <c r="CR147" s="3875"/>
      <c r="CS147" s="3875"/>
      <c r="CT147" s="3876"/>
      <c r="CU147" s="3876"/>
      <c r="CV147" s="4195" t="s">
        <v>614</v>
      </c>
      <c r="CW147" s="4093"/>
      <c r="CX147" s="4196"/>
      <c r="CY147" s="4196" t="str">
        <f>IF(T147="","",T147)</f>
        <v>Группа потребителей</v>
      </c>
      <c r="CZ147" s="4196"/>
      <c r="DA147" s="4196"/>
      <c r="DB147" s="3858">
        <v>0</v>
      </c>
    </row>
    <row s="6480" customFormat="1" customHeight="1" ht="23.25">
      <c r="A148" s="4183"/>
      <c r="B148" s="4183"/>
      <c r="C148" s="4183"/>
      <c r="D148" s="4183"/>
      <c r="E148" s="4184"/>
      <c r="F148" s="4184"/>
      <c r="G148" s="4184"/>
      <c r="H148" s="4184"/>
      <c r="I148" s="4185"/>
      <c r="J148" s="4185" t="str">
        <f>I134&amp;".3"</f>
        <v>1.6.1.1.3</v>
      </c>
      <c r="K148" s="4186" t="str">
        <f>J147&amp;".1"</f>
        <v>1.6.1.1.4.1</v>
      </c>
      <c r="L148" s="4187"/>
      <c r="M148" s="4188"/>
      <c r="N148" s="4188"/>
      <c r="O148" s="4188"/>
      <c r="P148" s="4189"/>
      <c r="Q148" s="4189"/>
      <c r="R148" s="4191">
        <v>1</v>
      </c>
      <c r="S148" s="4192" t="str">
        <f>$K148</f>
        <v>1.6.1.1.4.1</v>
      </c>
      <c r="T148" s="4198" t="s">
        <v>628</v>
      </c>
      <c r="U148" s="4194"/>
      <c r="V148" s="3878"/>
      <c r="W148" s="3878"/>
      <c r="X148" s="3879"/>
      <c r="Y148" s="3880"/>
      <c r="Z148" s="3881" t="s">
        <v>65</v>
      </c>
      <c r="AA148" s="3880"/>
      <c r="AB148" s="3881" t="s">
        <v>65</v>
      </c>
      <c r="AC148" s="3878">
        <v>26.94</v>
      </c>
      <c r="AD148" s="3878"/>
      <c r="AE148" s="3879"/>
      <c r="AF148" s="3880">
        <v>45292</v>
      </c>
      <c r="AG148" s="3881" t="s">
        <v>65</v>
      </c>
      <c r="AH148" s="4116">
        <v>45473</v>
      </c>
      <c r="AI148" s="3881" t="s">
        <v>65</v>
      </c>
      <c r="AJ148" s="3878">
        <v>30.82</v>
      </c>
      <c r="AK148" s="3878"/>
      <c r="AL148" s="3879"/>
      <c r="AM148" s="3880">
        <v>45474</v>
      </c>
      <c r="AN148" s="3881" t="s">
        <v>65</v>
      </c>
      <c r="AO148" s="3880">
        <v>45657</v>
      </c>
      <c r="AP148" s="3881" t="s">
        <v>65</v>
      </c>
      <c r="AQ148" s="3878">
        <v>30.82</v>
      </c>
      <c r="AR148" s="3878"/>
      <c r="AS148" s="3879"/>
      <c r="AT148" s="3880">
        <v>45658</v>
      </c>
      <c r="AU148" s="3881" t="s">
        <v>65</v>
      </c>
      <c r="AV148" s="3880">
        <v>45838</v>
      </c>
      <c r="AW148" s="3881" t="s">
        <v>65</v>
      </c>
      <c r="AX148" s="3878">
        <v>35.13</v>
      </c>
      <c r="AY148" s="3878"/>
      <c r="AZ148" s="3879"/>
      <c r="BA148" s="3880">
        <v>45839</v>
      </c>
      <c r="BB148" s="3881" t="s">
        <v>65</v>
      </c>
      <c r="BC148" s="3880">
        <v>46022</v>
      </c>
      <c r="BD148" s="3881" t="s">
        <v>65</v>
      </c>
      <c r="BE148" s="3878">
        <v>32.58</v>
      </c>
      <c r="BF148" s="3878"/>
      <c r="BG148" s="3879"/>
      <c r="BH148" s="3880">
        <v>46023</v>
      </c>
      <c r="BI148" s="3881" t="s">
        <v>65</v>
      </c>
      <c r="BJ148" s="3880">
        <v>46203</v>
      </c>
      <c r="BK148" s="3881" t="s">
        <v>65</v>
      </c>
      <c r="BL148" s="3878">
        <v>33.88</v>
      </c>
      <c r="BM148" s="3878"/>
      <c r="BN148" s="3879"/>
      <c r="BO148" s="3880">
        <v>46204</v>
      </c>
      <c r="BP148" s="3881" t="s">
        <v>65</v>
      </c>
      <c r="BQ148" s="3880">
        <v>46387</v>
      </c>
      <c r="BR148" s="3881" t="s">
        <v>65</v>
      </c>
      <c r="BS148" s="3878">
        <v>33.68</v>
      </c>
      <c r="BT148" s="3878"/>
      <c r="BU148" s="3879"/>
      <c r="BV148" s="3880">
        <v>46388</v>
      </c>
      <c r="BW148" s="3881" t="s">
        <v>65</v>
      </c>
      <c r="BX148" s="3880">
        <v>46568</v>
      </c>
      <c r="BY148" s="3881" t="s">
        <v>65</v>
      </c>
      <c r="BZ148" s="3878">
        <v>35.24</v>
      </c>
      <c r="CA148" s="3878"/>
      <c r="CB148" s="3879"/>
      <c r="CC148" s="3880">
        <v>46569</v>
      </c>
      <c r="CD148" s="3881" t="s">
        <v>65</v>
      </c>
      <c r="CE148" s="3880">
        <v>46752</v>
      </c>
      <c r="CF148" s="3881" t="s">
        <v>65</v>
      </c>
      <c r="CG148" s="3878">
        <v>35.24</v>
      </c>
      <c r="CH148" s="3878"/>
      <c r="CI148" s="3879"/>
      <c r="CJ148" s="3880">
        <v>46753</v>
      </c>
      <c r="CK148" s="3881" t="s">
        <v>65</v>
      </c>
      <c r="CL148" s="3880">
        <v>46934</v>
      </c>
      <c r="CM148" s="3881" t="s">
        <v>65</v>
      </c>
      <c r="CN148" s="3878">
        <v>36.65</v>
      </c>
      <c r="CO148" s="3878"/>
      <c r="CP148" s="3879"/>
      <c r="CQ148" s="3880">
        <v>46935</v>
      </c>
      <c r="CR148" s="3881" t="s">
        <v>65</v>
      </c>
      <c r="CS148" s="3880">
        <v>47118</v>
      </c>
      <c r="CT148" s="3881" t="s">
        <v>65</v>
      </c>
      <c r="CU148" s="4199"/>
      <c r="CV14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48" s="4093">
        <f>STRCHECKDATE(V149:CU149)</f>
      </c>
      <c r="CX148" s="4196"/>
      <c r="CY148" s="4196" t="str">
        <f>IF(T148="","",T148)</f>
        <v>на цели приготовления горячей воды населению для АО "Газспецресурс"</v>
      </c>
      <c r="CZ148" s="4196"/>
      <c r="DA148" s="4196"/>
      <c r="DB148" s="3858">
        <v>0</v>
      </c>
    </row>
    <row s="6481" customFormat="1" customHeight="1" ht="14.25">
      <c r="A149" s="4183"/>
      <c r="B149" s="4183"/>
      <c r="C149" s="4183"/>
      <c r="D149" s="4183"/>
      <c r="E149" s="4184"/>
      <c r="F149" s="4184"/>
      <c r="G149" s="4184"/>
      <c r="H149" s="4184"/>
      <c r="I149" s="4185"/>
      <c r="J149" s="4185" t="str">
        <f>I134&amp;".3"</f>
        <v>1.6.1.1.3</v>
      </c>
      <c r="K149" s="4186"/>
      <c r="L149" s="4187"/>
      <c r="M149" s="4188"/>
      <c r="N149" s="4188"/>
      <c r="O149" s="4188"/>
      <c r="P149" s="4189"/>
      <c r="Q149" s="4189"/>
      <c r="R149" s="4191"/>
      <c r="S149" s="4202"/>
      <c r="T149" s="4194"/>
      <c r="U149" s="4194"/>
      <c r="V149" s="3885"/>
      <c r="W149" s="3885"/>
      <c r="X149" s="3886" t="str">
        <f>Y148&amp;"-"&amp;AA148</f>
        <v>-</v>
      </c>
      <c r="Y149" s="3887"/>
      <c r="Z149" s="3881"/>
      <c r="AA149" s="3887"/>
      <c r="AB149" s="3881"/>
      <c r="AC149" s="3885"/>
      <c r="AD149" s="3885"/>
      <c r="AE149" s="3886" t="str">
        <f>AF148&amp;"-"&amp;AH148</f>
        <v>45292-45473</v>
      </c>
      <c r="AF149" s="3887"/>
      <c r="AG149" s="3881"/>
      <c r="AH149" s="4118"/>
      <c r="AI149" s="3881"/>
      <c r="AJ149" s="3885"/>
      <c r="AK149" s="3885"/>
      <c r="AL149" s="3886" t="str">
        <f>AM148&amp;"-"&amp;AO148</f>
        <v>45474-45657</v>
      </c>
      <c r="AM149" s="3887"/>
      <c r="AN149" s="3881"/>
      <c r="AO149" s="3887"/>
      <c r="AP149" s="3881"/>
      <c r="AQ149" s="3885"/>
      <c r="AR149" s="3885"/>
      <c r="AS149" s="3886" t="str">
        <f>AT148&amp;"-"&amp;AV148</f>
        <v>45658-45838</v>
      </c>
      <c r="AT149" s="3887"/>
      <c r="AU149" s="3881"/>
      <c r="AV149" s="3887"/>
      <c r="AW149" s="3881"/>
      <c r="AX149" s="3885"/>
      <c r="AY149" s="3885"/>
      <c r="AZ149" s="3886" t="str">
        <f>BA148&amp;"-"&amp;BC148</f>
        <v>45839-46022</v>
      </c>
      <c r="BA149" s="3887"/>
      <c r="BB149" s="3881"/>
      <c r="BC149" s="3887"/>
      <c r="BD149" s="3881"/>
      <c r="BE149" s="3885"/>
      <c r="BF149" s="3885"/>
      <c r="BG149" s="3886" t="str">
        <f>BH148&amp;"-"&amp;BJ148</f>
        <v>46023-46203</v>
      </c>
      <c r="BH149" s="3887"/>
      <c r="BI149" s="3881"/>
      <c r="BJ149" s="3887"/>
      <c r="BK149" s="3881"/>
      <c r="BL149" s="3885"/>
      <c r="BM149" s="3885"/>
      <c r="BN149" s="3886" t="str">
        <f>BO148&amp;"-"&amp;BQ148</f>
        <v>46204-46387</v>
      </c>
      <c r="BO149" s="3887"/>
      <c r="BP149" s="3881"/>
      <c r="BQ149" s="3887"/>
      <c r="BR149" s="3881"/>
      <c r="BS149" s="3885"/>
      <c r="BT149" s="3885"/>
      <c r="BU149" s="3886" t="str">
        <f>BV148&amp;"-"&amp;BX148</f>
        <v>46388-46568</v>
      </c>
      <c r="BV149" s="3887"/>
      <c r="BW149" s="3881"/>
      <c r="BX149" s="3887"/>
      <c r="BY149" s="3881"/>
      <c r="BZ149" s="3885"/>
      <c r="CA149" s="3885"/>
      <c r="CB149" s="3886" t="str">
        <f>CC148&amp;"-"&amp;CE148</f>
        <v>46569-46752</v>
      </c>
      <c r="CC149" s="3887"/>
      <c r="CD149" s="3881"/>
      <c r="CE149" s="3887"/>
      <c r="CF149" s="3881"/>
      <c r="CG149" s="3885"/>
      <c r="CH149" s="3885"/>
      <c r="CI149" s="3886" t="str">
        <f>CJ148&amp;"-"&amp;CL148</f>
        <v>46753-46934</v>
      </c>
      <c r="CJ149" s="3887"/>
      <c r="CK149" s="3881"/>
      <c r="CL149" s="3887"/>
      <c r="CM149" s="3881"/>
      <c r="CN149" s="3885"/>
      <c r="CO149" s="3885"/>
      <c r="CP149" s="3886" t="str">
        <f>CQ148&amp;"-"&amp;CS148</f>
        <v>46935-47118</v>
      </c>
      <c r="CQ149" s="3887"/>
      <c r="CR149" s="3881"/>
      <c r="CS149" s="3887"/>
      <c r="CT149" s="3881"/>
      <c r="CU149" s="4203"/>
      <c r="CV149" s="4200"/>
      <c r="CW149" s="4093"/>
      <c r="CX149" s="4196"/>
      <c r="CY149" s="4196" t="str">
        <f>IF(T149="","",T149)</f>
        <v/>
      </c>
      <c r="CZ149" s="4196"/>
      <c r="DA149" s="4196"/>
      <c r="DB149" s="3858">
        <v>0</v>
      </c>
    </row>
    <row s="6482" customFormat="1" customHeight="1" ht="21">
      <c r="A150" s="4183"/>
      <c r="B150" s="4183"/>
      <c r="C150" s="4183"/>
      <c r="D150" s="4183"/>
      <c r="E150" s="4184"/>
      <c r="F150" s="4184"/>
      <c r="G150" s="4184"/>
      <c r="H150" s="4184"/>
      <c r="I150" s="4185"/>
      <c r="J150" s="4186" t="str">
        <f>I134&amp;".3"</f>
        <v>1.6.1.1.3</v>
      </c>
      <c r="K150" s="4183"/>
      <c r="L150" s="4187"/>
      <c r="M150" s="4188"/>
      <c r="N150" s="4188"/>
      <c r="O150" s="4188"/>
      <c r="P150" s="4189"/>
      <c r="Q150" s="4189"/>
      <c r="R150" s="4205"/>
      <c r="S150" s="6483"/>
      <c r="T150" s="6484" t="s">
        <v>615</v>
      </c>
      <c r="U150" s="6485"/>
      <c r="V150" s="6486"/>
      <c r="W150" s="6487"/>
      <c r="X150" s="6488"/>
      <c r="Y150" s="6489"/>
      <c r="Z150" s="6490"/>
      <c r="AA150" s="6491"/>
      <c r="AB150" s="6492"/>
      <c r="AC150" s="6493"/>
      <c r="AD150" s="6494"/>
      <c r="AE150" s="6495"/>
      <c r="AF150" s="6496"/>
      <c r="AG150" s="6497"/>
      <c r="AH150" s="6498"/>
      <c r="AI150" s="6499"/>
      <c r="AJ150" s="6500"/>
      <c r="AK150" s="6501"/>
      <c r="AL150" s="6502"/>
      <c r="AM150" s="6503"/>
      <c r="AN150" s="6504"/>
      <c r="AO150" s="6505"/>
      <c r="AP150" s="6506"/>
      <c r="AQ150" s="6507"/>
      <c r="AR150" s="6508"/>
      <c r="AS150" s="6509"/>
      <c r="AT150" s="6510"/>
      <c r="AU150" s="6511"/>
      <c r="AV150" s="6512"/>
      <c r="AW150" s="6513"/>
      <c r="AX150" s="6514"/>
      <c r="AY150" s="6515"/>
      <c r="AZ150" s="6516"/>
      <c r="BA150" s="6517"/>
      <c r="BB150" s="6518"/>
      <c r="BC150" s="6519"/>
      <c r="BD150" s="6520"/>
      <c r="BE150" s="6521"/>
      <c r="BF150" s="6522"/>
      <c r="BG150" s="6523"/>
      <c r="BH150" s="6524"/>
      <c r="BI150" s="6525"/>
      <c r="BJ150" s="6526"/>
      <c r="BK150" s="6527"/>
      <c r="BL150" s="6528"/>
      <c r="BM150" s="6529"/>
      <c r="BN150" s="6530"/>
      <c r="BO150" s="6531"/>
      <c r="BP150" s="6532"/>
      <c r="BQ150" s="6533"/>
      <c r="BR150" s="6534"/>
      <c r="BS150" s="6535"/>
      <c r="BT150" s="6536"/>
      <c r="BU150" s="6537"/>
      <c r="BV150" s="6538"/>
      <c r="BW150" s="6539"/>
      <c r="BX150" s="6540"/>
      <c r="BY150" s="6541"/>
      <c r="BZ150" s="6542"/>
      <c r="CA150" s="6543"/>
      <c r="CB150" s="6544"/>
      <c r="CC150" s="6545"/>
      <c r="CD150" s="6546"/>
      <c r="CE150" s="6547"/>
      <c r="CF150" s="6548"/>
      <c r="CG150" s="6549"/>
      <c r="CH150" s="6550"/>
      <c r="CI150" s="6551"/>
      <c r="CJ150" s="6552"/>
      <c r="CK150" s="6553"/>
      <c r="CL150" s="6554"/>
      <c r="CM150" s="6555"/>
      <c r="CN150" s="6556"/>
      <c r="CO150" s="6557"/>
      <c r="CP150" s="6558"/>
      <c r="CQ150" s="6559"/>
      <c r="CR150" s="6560"/>
      <c r="CS150" s="6561"/>
      <c r="CT150" s="6562"/>
      <c r="CU150" s="6563"/>
      <c r="CV150" s="4287" t="s">
        <v>616</v>
      </c>
      <c r="CW150" s="4093"/>
      <c r="CX150" s="4196"/>
      <c r="CY150" s="4196" t="str">
        <f>IF(T150="","",T150)</f>
        <v>Добавить значение признака дифференциации</v>
      </c>
      <c r="CZ150" s="4196"/>
      <c r="DA150" s="4196"/>
      <c r="DB150" s="3858">
        <v>0</v>
      </c>
    </row>
    <row s="6564" customFormat="1" customHeight="1" ht="21">
      <c r="A151" s="4183"/>
      <c r="B151" s="4183"/>
      <c r="C151" s="4183"/>
      <c r="D151" s="4183"/>
      <c r="E151" s="4184"/>
      <c r="F151" s="4184" t="s">
        <v>122</v>
      </c>
      <c r="G151" s="4184"/>
      <c r="H151" s="4184"/>
      <c r="I151" s="4186"/>
      <c r="J151" s="4183"/>
      <c r="K151" s="4183"/>
      <c r="L151" s="4187"/>
      <c r="M151" s="4188"/>
      <c r="N151" s="4188"/>
      <c r="O151" s="4188"/>
      <c r="P151" s="4189"/>
      <c r="Q151" s="4189"/>
      <c r="R151" s="4205"/>
      <c r="S151" s="6565"/>
      <c r="T151" s="6566" t="s">
        <v>544</v>
      </c>
      <c r="U151" s="6567"/>
      <c r="V151" s="6568"/>
      <c r="W151" s="6569"/>
      <c r="X151" s="6570"/>
      <c r="Y151" s="6571"/>
      <c r="Z151" s="6572"/>
      <c r="AA151" s="6573"/>
      <c r="AB151" s="6574"/>
      <c r="AC151" s="6575"/>
      <c r="AD151" s="6576"/>
      <c r="AE151" s="6577"/>
      <c r="AF151" s="6578"/>
      <c r="AG151" s="6579"/>
      <c r="AH151" s="6580"/>
      <c r="AI151" s="6581"/>
      <c r="AJ151" s="6582"/>
      <c r="AK151" s="6583"/>
      <c r="AL151" s="6584"/>
      <c r="AM151" s="6585"/>
      <c r="AN151" s="6586"/>
      <c r="AO151" s="6587"/>
      <c r="AP151" s="6588"/>
      <c r="AQ151" s="6589"/>
      <c r="AR151" s="6590"/>
      <c r="AS151" s="6591"/>
      <c r="AT151" s="6592"/>
      <c r="AU151" s="6593"/>
      <c r="AV151" s="6594"/>
      <c r="AW151" s="6595"/>
      <c r="AX151" s="6596"/>
      <c r="AY151" s="6597"/>
      <c r="AZ151" s="6598"/>
      <c r="BA151" s="6599"/>
      <c r="BB151" s="6600"/>
      <c r="BC151" s="6601"/>
      <c r="BD151" s="6602"/>
      <c r="BE151" s="6603"/>
      <c r="BF151" s="6604"/>
      <c r="BG151" s="6605"/>
      <c r="BH151" s="6606"/>
      <c r="BI151" s="6607"/>
      <c r="BJ151" s="6608"/>
      <c r="BK151" s="6609"/>
      <c r="BL151" s="6610"/>
      <c r="BM151" s="6611"/>
      <c r="BN151" s="6612"/>
      <c r="BO151" s="6613"/>
      <c r="BP151" s="6614"/>
      <c r="BQ151" s="6615"/>
      <c r="BR151" s="6616"/>
      <c r="BS151" s="6617"/>
      <c r="BT151" s="6618"/>
      <c r="BU151" s="6619"/>
      <c r="BV151" s="6620"/>
      <c r="BW151" s="6621"/>
      <c r="BX151" s="6622"/>
      <c r="BY151" s="6623"/>
      <c r="BZ151" s="6624"/>
      <c r="CA151" s="6625"/>
      <c r="CB151" s="6626"/>
      <c r="CC151" s="6627"/>
      <c r="CD151" s="6628"/>
      <c r="CE151" s="6629"/>
      <c r="CF151" s="6630"/>
      <c r="CG151" s="6631"/>
      <c r="CH151" s="6632"/>
      <c r="CI151" s="6633"/>
      <c r="CJ151" s="6634"/>
      <c r="CK151" s="6635"/>
      <c r="CL151" s="6636"/>
      <c r="CM151" s="6637"/>
      <c r="CN151" s="6638"/>
      <c r="CO151" s="6639"/>
      <c r="CP151" s="6640"/>
      <c r="CQ151" s="6641"/>
      <c r="CR151" s="6642"/>
      <c r="CS151" s="6643"/>
      <c r="CT151" s="6644"/>
      <c r="CU151" s="6645"/>
      <c r="CV151" s="6646"/>
      <c r="CW151" s="4093"/>
      <c r="CX151" s="4196"/>
      <c r="CY151" s="4196" t="str">
        <f>IF(T151="","",T151)</f>
        <v>Добавить группу потребителей</v>
      </c>
      <c r="CZ151" s="4196"/>
      <c r="DA151" s="4196"/>
      <c r="DB151" s="3858">
        <v>0</v>
      </c>
    </row>
    <row s="6647" customFormat="1" customHeight="1" ht="14.25">
      <c r="A152" s="4183"/>
      <c r="B152" s="4183"/>
      <c r="C152" s="4183"/>
      <c r="D152" s="4183"/>
      <c r="E152" s="4184"/>
      <c r="F152" s="4184" t="s">
        <v>122</v>
      </c>
      <c r="G152" s="4184"/>
      <c r="H152" s="4500"/>
      <c r="I152" s="4183"/>
      <c r="J152" s="4183"/>
      <c r="K152" s="4183"/>
      <c r="L152" s="4187"/>
      <c r="M152" s="4501"/>
      <c r="N152" s="4501"/>
      <c r="O152" s="4083"/>
      <c r="P152" s="4853"/>
      <c r="Q152" s="4854"/>
      <c r="R152" s="4855"/>
      <c r="S152" s="6648"/>
      <c r="T152" s="6649" t="s">
        <v>617</v>
      </c>
      <c r="U152" s="6650"/>
      <c r="V152" s="6651"/>
      <c r="W152" s="6652"/>
      <c r="X152" s="6653"/>
      <c r="Y152" s="6654"/>
      <c r="Z152" s="6655"/>
      <c r="AA152" s="6656"/>
      <c r="AB152" s="6657"/>
      <c r="AC152" s="6658"/>
      <c r="AD152" s="6659"/>
      <c r="AE152" s="6660"/>
      <c r="AF152" s="6661"/>
      <c r="AG152" s="6662"/>
      <c r="AH152" s="6663"/>
      <c r="AI152" s="6664"/>
      <c r="AJ152" s="6665"/>
      <c r="AK152" s="6666"/>
      <c r="AL152" s="6667"/>
      <c r="AM152" s="6668"/>
      <c r="AN152" s="6669"/>
      <c r="AO152" s="6670"/>
      <c r="AP152" s="6671"/>
      <c r="AQ152" s="6672"/>
      <c r="AR152" s="6673"/>
      <c r="AS152" s="6674"/>
      <c r="AT152" s="6675"/>
      <c r="AU152" s="6676"/>
      <c r="AV152" s="6677"/>
      <c r="AW152" s="6678"/>
      <c r="AX152" s="6679"/>
      <c r="AY152" s="6680"/>
      <c r="AZ152" s="6681"/>
      <c r="BA152" s="6682"/>
      <c r="BB152" s="6683"/>
      <c r="BC152" s="6684"/>
      <c r="BD152" s="6685"/>
      <c r="BE152" s="6686"/>
      <c r="BF152" s="6687"/>
      <c r="BG152" s="6688"/>
      <c r="BH152" s="6689"/>
      <c r="BI152" s="6690"/>
      <c r="BJ152" s="6691"/>
      <c r="BK152" s="6692"/>
      <c r="BL152" s="6693"/>
      <c r="BM152" s="6694"/>
      <c r="BN152" s="6695"/>
      <c r="BO152" s="6696"/>
      <c r="BP152" s="6697"/>
      <c r="BQ152" s="6698"/>
      <c r="BR152" s="6699"/>
      <c r="BS152" s="6700"/>
      <c r="BT152" s="6701"/>
      <c r="BU152" s="6702"/>
      <c r="BV152" s="6703"/>
      <c r="BW152" s="6704"/>
      <c r="BX152" s="6705"/>
      <c r="BY152" s="6706"/>
      <c r="BZ152" s="6707"/>
      <c r="CA152" s="6708"/>
      <c r="CB152" s="6709"/>
      <c r="CC152" s="6710"/>
      <c r="CD152" s="6711"/>
      <c r="CE152" s="6712"/>
      <c r="CF152" s="6713"/>
      <c r="CG152" s="6714"/>
      <c r="CH152" s="6715"/>
      <c r="CI152" s="6716"/>
      <c r="CJ152" s="6717"/>
      <c r="CK152" s="6718"/>
      <c r="CL152" s="6719"/>
      <c r="CM152" s="6720"/>
      <c r="CN152" s="6721"/>
      <c r="CO152" s="6722"/>
      <c r="CP152" s="6723"/>
      <c r="CQ152" s="6724"/>
      <c r="CR152" s="6725"/>
      <c r="CS152" s="6726"/>
      <c r="CT152" s="6727"/>
      <c r="CU152" s="6728"/>
      <c r="CV152" s="6729"/>
      <c r="CW152" s="4093"/>
      <c r="CX152" s="4196"/>
      <c r="CY152" s="4196" t="str">
        <f>IF(T152="","",T152)</f>
        <v>Добавить наименование признака дифференциации</v>
      </c>
      <c r="CZ152" s="4196"/>
      <c r="DA152" s="4196"/>
      <c r="DB152" s="3858">
        <v>0</v>
      </c>
    </row>
    <row s="6730" customFormat="1" customHeight="1" ht="23.25">
      <c r="A153" s="4183"/>
      <c r="B153" s="4183"/>
      <c r="C153" s="4183" t="s">
        <v>320</v>
      </c>
      <c r="D153" s="4183"/>
      <c r="E153" s="4184"/>
      <c r="F153" s="4184"/>
      <c r="G153" s="4500" t="s">
        <v>108</v>
      </c>
      <c r="H153" s="4183"/>
      <c r="I153" s="4183"/>
      <c r="J153" s="4183"/>
      <c r="K153" s="4183"/>
      <c r="L153" s="4187"/>
      <c r="M153" s="4501"/>
      <c r="N153" s="4501"/>
      <c r="O153" s="4501"/>
      <c r="P153" s="4507"/>
      <c r="Q153" s="4503"/>
      <c r="R153" s="4504"/>
      <c r="S153" s="4192" t="str">
        <f>INDEX(PT_DIFFERENTIATION_NUM_CS,MATCH(C153,PT_DIFFERENTIATION_CS_ID,0))</f>
        <v>1.6.2</v>
      </c>
      <c r="T153" s="4508" t="s">
        <v>610</v>
      </c>
      <c r="U153" s="4194"/>
      <c r="V153" s="3860"/>
      <c r="W153" s="3861"/>
      <c r="X153" s="3861"/>
      <c r="Y153" s="3861"/>
      <c r="Z153" s="3861"/>
      <c r="AA153" s="3861"/>
      <c r="AB153" s="3862"/>
      <c r="AC153" s="3860" t="str">
        <f>INDEX(PT_DIFFERENTIATION_CS,MATCH(C153,PT_DIFFERENTIATION_CS_ID,0))</f>
        <v>кроме п. им. Маршала Жукова</v>
      </c>
      <c r="AD153" s="3861"/>
      <c r="AE153" s="3861"/>
      <c r="AF153" s="3861"/>
      <c r="AG153" s="3861"/>
      <c r="AH153" s="3861"/>
      <c r="AI153" s="3861"/>
      <c r="AJ153" s="3860"/>
      <c r="AK153" s="3861"/>
      <c r="AL153" s="3861"/>
      <c r="AM153" s="3861"/>
      <c r="AN153" s="3861"/>
      <c r="AO153" s="3861"/>
      <c r="AP153" s="3862"/>
      <c r="AQ153" s="3860"/>
      <c r="AR153" s="3861"/>
      <c r="AS153" s="3861"/>
      <c r="AT153" s="3861"/>
      <c r="AU153" s="3861"/>
      <c r="AV153" s="3861"/>
      <c r="AW153" s="3862"/>
      <c r="AX153" s="3860"/>
      <c r="AY153" s="3861"/>
      <c r="AZ153" s="3861"/>
      <c r="BA153" s="3861"/>
      <c r="BB153" s="3861"/>
      <c r="BC153" s="3861"/>
      <c r="BD153" s="3862"/>
      <c r="BE153" s="3860"/>
      <c r="BF153" s="3861"/>
      <c r="BG153" s="3861"/>
      <c r="BH153" s="3861"/>
      <c r="BI153" s="3861"/>
      <c r="BJ153" s="3861"/>
      <c r="BK153" s="3862"/>
      <c r="BL153" s="3860"/>
      <c r="BM153" s="3861"/>
      <c r="BN153" s="3861"/>
      <c r="BO153" s="3861"/>
      <c r="BP153" s="3861"/>
      <c r="BQ153" s="3861"/>
      <c r="BR153" s="3862"/>
      <c r="BS153" s="3860"/>
      <c r="BT153" s="3861"/>
      <c r="BU153" s="3861"/>
      <c r="BV153" s="3861"/>
      <c r="BW153" s="3861"/>
      <c r="BX153" s="3861"/>
      <c r="BY153" s="3862"/>
      <c r="BZ153" s="3860"/>
      <c r="CA153" s="3861"/>
      <c r="CB153" s="3861"/>
      <c r="CC153" s="3861"/>
      <c r="CD153" s="3861"/>
      <c r="CE153" s="3861"/>
      <c r="CF153" s="3862"/>
      <c r="CG153" s="3860"/>
      <c r="CH153" s="3861"/>
      <c r="CI153" s="3861"/>
      <c r="CJ153" s="3861"/>
      <c r="CK153" s="3861"/>
      <c r="CL153" s="3861"/>
      <c r="CM153" s="3862"/>
      <c r="CN153" s="3860"/>
      <c r="CO153" s="3861"/>
      <c r="CP153" s="3861"/>
      <c r="CQ153" s="3861"/>
      <c r="CR153" s="3861"/>
      <c r="CS153" s="3861"/>
      <c r="CT153" s="3862"/>
      <c r="CU153" s="3862"/>
      <c r="CV153" s="4287" t="s">
        <v>611</v>
      </c>
      <c r="CW153" s="4093"/>
      <c r="CX153" s="4196"/>
      <c r="CY153" s="4196" t="str">
        <f>IF(T153="","",T153)</f>
        <v>Наименование централизованной системы холодного водоснабжения</v>
      </c>
      <c r="CZ153" s="4196"/>
      <c r="DA153" s="4196"/>
      <c r="DB153" s="3858">
        <v>0</v>
      </c>
    </row>
    <row s="6731" customFormat="1" customHeight="1" ht="23.25">
      <c r="A154" s="4183"/>
      <c r="B154" s="4183"/>
      <c r="C154" s="4183"/>
      <c r="D154" s="4183"/>
      <c r="E154" s="4184"/>
      <c r="F154" s="4184"/>
      <c r="G154" s="4184">
        <v>1</v>
      </c>
      <c r="H154" s="4184"/>
      <c r="I154" s="4186" t="str">
        <f>S153&amp;".1"</f>
        <v>1.6.2.1</v>
      </c>
      <c r="J154" s="4183"/>
      <c r="K154" s="4183"/>
      <c r="L154" s="4187"/>
      <c r="M154" s="4188"/>
      <c r="N154" s="4188"/>
      <c r="O154" s="4188"/>
      <c r="P154" s="4189">
        <v>1</v>
      </c>
      <c r="Q154" s="4189"/>
      <c r="R154" s="4205"/>
      <c r="S154" s="4192" t="str">
        <f>$I154</f>
        <v>1.6.2.1</v>
      </c>
      <c r="T154" s="4510" t="s">
        <v>612</v>
      </c>
      <c r="U154" s="4194"/>
      <c r="V154" s="3870"/>
      <c r="W154" s="3871"/>
      <c r="X154" s="3871"/>
      <c r="Y154" s="3871"/>
      <c r="Z154" s="3871"/>
      <c r="AA154" s="3871"/>
      <c r="AB154" s="3872"/>
      <c r="AC154" s="4511"/>
      <c r="AD154" s="4512"/>
      <c r="AE154" s="4512"/>
      <c r="AF154" s="4512"/>
      <c r="AG154" s="4512"/>
      <c r="AH154" s="4512"/>
      <c r="AI154" s="4512"/>
      <c r="AJ154" s="3870"/>
      <c r="AK154" s="3871"/>
      <c r="AL154" s="3871"/>
      <c r="AM154" s="3871"/>
      <c r="AN154" s="3871"/>
      <c r="AO154" s="3871"/>
      <c r="AP154" s="3872"/>
      <c r="AQ154" s="3870"/>
      <c r="AR154" s="3871"/>
      <c r="AS154" s="3871"/>
      <c r="AT154" s="3871"/>
      <c r="AU154" s="3871"/>
      <c r="AV154" s="3871"/>
      <c r="AW154" s="3872"/>
      <c r="AX154" s="3870"/>
      <c r="AY154" s="3871"/>
      <c r="AZ154" s="3871"/>
      <c r="BA154" s="3871"/>
      <c r="BB154" s="3871"/>
      <c r="BC154" s="3871"/>
      <c r="BD154" s="3872"/>
      <c r="BE154" s="3870"/>
      <c r="BF154" s="3871"/>
      <c r="BG154" s="3871"/>
      <c r="BH154" s="3871"/>
      <c r="BI154" s="3871"/>
      <c r="BJ154" s="3871"/>
      <c r="BK154" s="3872"/>
      <c r="BL154" s="3870"/>
      <c r="BM154" s="3871"/>
      <c r="BN154" s="3871"/>
      <c r="BO154" s="3871"/>
      <c r="BP154" s="3871"/>
      <c r="BQ154" s="3871"/>
      <c r="BR154" s="3872"/>
      <c r="BS154" s="3870"/>
      <c r="BT154" s="3871"/>
      <c r="BU154" s="3871"/>
      <c r="BV154" s="3871"/>
      <c r="BW154" s="3871"/>
      <c r="BX154" s="3871"/>
      <c r="BY154" s="3872"/>
      <c r="BZ154" s="3870"/>
      <c r="CA154" s="3871"/>
      <c r="CB154" s="3871"/>
      <c r="CC154" s="3871"/>
      <c r="CD154" s="3871"/>
      <c r="CE154" s="3871"/>
      <c r="CF154" s="3872"/>
      <c r="CG154" s="3870"/>
      <c r="CH154" s="3871"/>
      <c r="CI154" s="3871"/>
      <c r="CJ154" s="3871"/>
      <c r="CK154" s="3871"/>
      <c r="CL154" s="3871"/>
      <c r="CM154" s="3872"/>
      <c r="CN154" s="3870"/>
      <c r="CO154" s="3871"/>
      <c r="CP154" s="3871"/>
      <c r="CQ154" s="3871"/>
      <c r="CR154" s="3871"/>
      <c r="CS154" s="3871"/>
      <c r="CT154" s="3872"/>
      <c r="CU154" s="4513"/>
      <c r="CV154" s="4287" t="s">
        <v>613</v>
      </c>
      <c r="CW154" s="4093"/>
      <c r="CX154" s="4196"/>
      <c r="CY154" s="4196" t="str">
        <f>IF(T154="","",T154)</f>
        <v>Наименование признака дифференциации</v>
      </c>
      <c r="CZ154" s="4196"/>
      <c r="DA154" s="4196"/>
      <c r="DB154" s="3858">
        <v>0</v>
      </c>
    </row>
    <row s="6732" customFormat="1" customHeight="1" ht="23.25">
      <c r="A155" s="4183"/>
      <c r="B155" s="4183"/>
      <c r="C155" s="4183"/>
      <c r="D155" s="4183"/>
      <c r="E155" s="4184"/>
      <c r="F155" s="4184"/>
      <c r="G155" s="4184">
        <v>1</v>
      </c>
      <c r="H155" s="4184"/>
      <c r="I155" s="4185"/>
      <c r="J155" s="4186" t="str">
        <f>I154&amp;".1"</f>
        <v>1.6.2.1.1</v>
      </c>
      <c r="K155" s="4183"/>
      <c r="L155" s="4187" t="s">
        <v>538</v>
      </c>
      <c r="M155" s="4188"/>
      <c r="N155" s="4188"/>
      <c r="O155" s="4188"/>
      <c r="P155" s="4189"/>
      <c r="Q155" s="4189">
        <v>1</v>
      </c>
      <c r="R155" s="4191"/>
      <c r="S155" s="4192" t="str">
        <f>$J155</f>
        <v>1.6.2.1.1</v>
      </c>
      <c r="T155" s="4193" t="s">
        <v>539</v>
      </c>
      <c r="U155" s="4194"/>
      <c r="V155" s="3874"/>
      <c r="W155" s="3875"/>
      <c r="X155" s="3875"/>
      <c r="Y155" s="3875"/>
      <c r="Z155" s="3875"/>
      <c r="AA155" s="3875"/>
      <c r="AB155" s="3876"/>
      <c r="AC155" s="3874" t="s">
        <v>625</v>
      </c>
      <c r="AD155" s="3875"/>
      <c r="AE155" s="3875"/>
      <c r="AF155" s="3875"/>
      <c r="AG155" s="3875"/>
      <c r="AH155" s="3875"/>
      <c r="AI155" s="3875"/>
      <c r="AJ155" s="3874"/>
      <c r="AK155" s="3875"/>
      <c r="AL155" s="3875"/>
      <c r="AM155" s="3875"/>
      <c r="AN155" s="3875"/>
      <c r="AO155" s="3875"/>
      <c r="AP155" s="3876"/>
      <c r="AQ155" s="3874"/>
      <c r="AR155" s="3875"/>
      <c r="AS155" s="3875"/>
      <c r="AT155" s="3875"/>
      <c r="AU155" s="3875"/>
      <c r="AV155" s="3875"/>
      <c r="AW155" s="3876"/>
      <c r="AX155" s="3874"/>
      <c r="AY155" s="3875"/>
      <c r="AZ155" s="3875"/>
      <c r="BA155" s="3875"/>
      <c r="BB155" s="3875"/>
      <c r="BC155" s="3875"/>
      <c r="BD155" s="3876"/>
      <c r="BE155" s="3874"/>
      <c r="BF155" s="3875"/>
      <c r="BG155" s="3875"/>
      <c r="BH155" s="3875"/>
      <c r="BI155" s="3875"/>
      <c r="BJ155" s="3875"/>
      <c r="BK155" s="3876"/>
      <c r="BL155" s="3874"/>
      <c r="BM155" s="3875"/>
      <c r="BN155" s="3875"/>
      <c r="BO155" s="3875"/>
      <c r="BP155" s="3875"/>
      <c r="BQ155" s="3875"/>
      <c r="BR155" s="3876"/>
      <c r="BS155" s="3874"/>
      <c r="BT155" s="3875"/>
      <c r="BU155" s="3875"/>
      <c r="BV155" s="3875"/>
      <c r="BW155" s="3875"/>
      <c r="BX155" s="3875"/>
      <c r="BY155" s="3876"/>
      <c r="BZ155" s="3874"/>
      <c r="CA155" s="3875"/>
      <c r="CB155" s="3875"/>
      <c r="CC155" s="3875"/>
      <c r="CD155" s="3875"/>
      <c r="CE155" s="3875"/>
      <c r="CF155" s="3876"/>
      <c r="CG155" s="3874"/>
      <c r="CH155" s="3875"/>
      <c r="CI155" s="3875"/>
      <c r="CJ155" s="3875"/>
      <c r="CK155" s="3875"/>
      <c r="CL155" s="3875"/>
      <c r="CM155" s="3876"/>
      <c r="CN155" s="3874"/>
      <c r="CO155" s="3875"/>
      <c r="CP155" s="3875"/>
      <c r="CQ155" s="3875"/>
      <c r="CR155" s="3875"/>
      <c r="CS155" s="3875"/>
      <c r="CT155" s="3876"/>
      <c r="CU155" s="3876"/>
      <c r="CV155" s="4195" t="s">
        <v>614</v>
      </c>
      <c r="CW155" s="4093"/>
      <c r="CX155" s="4196"/>
      <c r="CY155" s="4196" t="str">
        <f>IF(T155="","",T155)</f>
        <v>Группа потребителей</v>
      </c>
      <c r="CZ155" s="4196"/>
      <c r="DA155" s="4196"/>
      <c r="DB155" s="3858">
        <v>0</v>
      </c>
    </row>
    <row s="6733" customFormat="1" customHeight="1" ht="23.25">
      <c r="A156" s="4183"/>
      <c r="B156" s="4183"/>
      <c r="C156" s="4183"/>
      <c r="D156" s="4183"/>
      <c r="E156" s="4184"/>
      <c r="F156" s="4184"/>
      <c r="G156" s="4184">
        <v>1</v>
      </c>
      <c r="H156" s="4184"/>
      <c r="I156" s="4185"/>
      <c r="J156" s="4185"/>
      <c r="K156" s="4186" t="str">
        <f>J155&amp;".1"</f>
        <v>1.6.2.1.1.1</v>
      </c>
      <c r="L156" s="4187"/>
      <c r="M156" s="4188"/>
      <c r="N156" s="4188"/>
      <c r="O156" s="4188"/>
      <c r="P156" s="4189"/>
      <c r="Q156" s="4189"/>
      <c r="R156" s="4191">
        <v>1</v>
      </c>
      <c r="S156" s="4192" t="str">
        <f>$K156</f>
        <v>1.6.2.1.1.1</v>
      </c>
      <c r="T156" s="4198"/>
      <c r="U156" s="4194"/>
      <c r="V156" s="3878"/>
      <c r="W156" s="3878"/>
      <c r="X156" s="3879"/>
      <c r="Y156" s="3880"/>
      <c r="Z156" s="3881" t="s">
        <v>65</v>
      </c>
      <c r="AA156" s="3880"/>
      <c r="AB156" s="3881" t="s">
        <v>65</v>
      </c>
      <c r="AC156" s="3878">
        <v>63.87</v>
      </c>
      <c r="AD156" s="3878"/>
      <c r="AE156" s="3879"/>
      <c r="AF156" s="3880">
        <v>45292</v>
      </c>
      <c r="AG156" s="3881" t="s">
        <v>65</v>
      </c>
      <c r="AH156" s="4116">
        <v>45473</v>
      </c>
      <c r="AI156" s="3881" t="s">
        <v>65</v>
      </c>
      <c r="AJ156" s="3878">
        <v>70.62</v>
      </c>
      <c r="AK156" s="3878"/>
      <c r="AL156" s="3879"/>
      <c r="AM156" s="3880">
        <v>45474</v>
      </c>
      <c r="AN156" s="3881" t="s">
        <v>65</v>
      </c>
      <c r="AO156" s="3880">
        <v>45657</v>
      </c>
      <c r="AP156" s="3881" t="s">
        <v>65</v>
      </c>
      <c r="AQ156" s="3878">
        <v>70.62</v>
      </c>
      <c r="AR156" s="3878"/>
      <c r="AS156" s="3879"/>
      <c r="AT156" s="3880">
        <v>45658</v>
      </c>
      <c r="AU156" s="3881" t="s">
        <v>65</v>
      </c>
      <c r="AV156" s="3880">
        <v>45838</v>
      </c>
      <c r="AW156" s="3881" t="s">
        <v>65</v>
      </c>
      <c r="AX156" s="3878">
        <v>74.15</v>
      </c>
      <c r="AY156" s="3878"/>
      <c r="AZ156" s="3879"/>
      <c r="BA156" s="3880">
        <v>45839</v>
      </c>
      <c r="BB156" s="3881" t="s">
        <v>65</v>
      </c>
      <c r="BC156" s="3880">
        <v>46022</v>
      </c>
      <c r="BD156" s="3881" t="s">
        <v>65</v>
      </c>
      <c r="BE156" s="3878">
        <v>74.27</v>
      </c>
      <c r="BF156" s="3878"/>
      <c r="BG156" s="3879"/>
      <c r="BH156" s="3880">
        <v>46023</v>
      </c>
      <c r="BI156" s="3881" t="s">
        <v>65</v>
      </c>
      <c r="BJ156" s="3880">
        <v>46203</v>
      </c>
      <c r="BK156" s="3881" t="s">
        <v>65</v>
      </c>
      <c r="BL156" s="3878">
        <v>77.24</v>
      </c>
      <c r="BM156" s="3878"/>
      <c r="BN156" s="3879"/>
      <c r="BO156" s="3880">
        <v>46204</v>
      </c>
      <c r="BP156" s="3881" t="s">
        <v>65</v>
      </c>
      <c r="BQ156" s="3880">
        <v>46387</v>
      </c>
      <c r="BR156" s="3881" t="s">
        <v>65</v>
      </c>
      <c r="BS156" s="3878">
        <v>77.24</v>
      </c>
      <c r="BT156" s="3878"/>
      <c r="BU156" s="3879"/>
      <c r="BV156" s="3880">
        <v>46388</v>
      </c>
      <c r="BW156" s="3881" t="s">
        <v>65</v>
      </c>
      <c r="BX156" s="3880">
        <v>46568</v>
      </c>
      <c r="BY156" s="3881" t="s">
        <v>65</v>
      </c>
      <c r="BZ156" s="3878">
        <v>80.33</v>
      </c>
      <c r="CA156" s="3878"/>
      <c r="CB156" s="3879"/>
      <c r="CC156" s="3880">
        <v>46569</v>
      </c>
      <c r="CD156" s="3881" t="s">
        <v>65</v>
      </c>
      <c r="CE156" s="3880">
        <v>46752</v>
      </c>
      <c r="CF156" s="3881" t="s">
        <v>65</v>
      </c>
      <c r="CG156" s="3878">
        <v>80.33</v>
      </c>
      <c r="CH156" s="3878"/>
      <c r="CI156" s="3879"/>
      <c r="CJ156" s="3880">
        <v>46753</v>
      </c>
      <c r="CK156" s="3881" t="s">
        <v>65</v>
      </c>
      <c r="CL156" s="3880">
        <v>46934</v>
      </c>
      <c r="CM156" s="3881" t="s">
        <v>65</v>
      </c>
      <c r="CN156" s="3878">
        <v>83.54</v>
      </c>
      <c r="CO156" s="3878"/>
      <c r="CP156" s="3879"/>
      <c r="CQ156" s="3880">
        <v>46935</v>
      </c>
      <c r="CR156" s="3881" t="s">
        <v>65</v>
      </c>
      <c r="CS156" s="3880">
        <v>47118</v>
      </c>
      <c r="CT156" s="3881" t="s">
        <v>65</v>
      </c>
      <c r="CU156" s="4199"/>
      <c r="CV15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56" s="4093">
        <f>STRCHECKDATE(V157:CU157)</f>
      </c>
      <c r="CX156" s="4196"/>
      <c r="CY156" s="4196" t="str">
        <f>IF(T156="","",T156)</f>
        <v/>
      </c>
      <c r="CZ156" s="4196"/>
      <c r="DA156" s="4196"/>
      <c r="DB156" s="3858">
        <v>0</v>
      </c>
    </row>
    <row s="6734" customFormat="1" customHeight="1" ht="14.25">
      <c r="A157" s="4183"/>
      <c r="B157" s="4183"/>
      <c r="C157" s="4183"/>
      <c r="D157" s="4183"/>
      <c r="E157" s="4184"/>
      <c r="F157" s="4184"/>
      <c r="G157" s="4184">
        <v>1</v>
      </c>
      <c r="H157" s="4184"/>
      <c r="I157" s="4185"/>
      <c r="J157" s="4185"/>
      <c r="K157" s="4186"/>
      <c r="L157" s="4187"/>
      <c r="M157" s="4188"/>
      <c r="N157" s="4188"/>
      <c r="O157" s="4188"/>
      <c r="P157" s="4189"/>
      <c r="Q157" s="4189"/>
      <c r="R157" s="4191"/>
      <c r="S157" s="4202"/>
      <c r="T157" s="4194"/>
      <c r="U157" s="4194"/>
      <c r="V157" s="3885"/>
      <c r="W157" s="3885"/>
      <c r="X157" s="3886" t="str">
        <f>Y156&amp;"-"&amp;AA156</f>
        <v>-</v>
      </c>
      <c r="Y157" s="3887"/>
      <c r="Z157" s="3881"/>
      <c r="AA157" s="3887"/>
      <c r="AB157" s="3881"/>
      <c r="AC157" s="3885"/>
      <c r="AD157" s="3885"/>
      <c r="AE157" s="3886" t="str">
        <f>AF156&amp;"-"&amp;AH156</f>
        <v>45292-45473</v>
      </c>
      <c r="AF157" s="3887"/>
      <c r="AG157" s="3881"/>
      <c r="AH157" s="4118"/>
      <c r="AI157" s="3881"/>
      <c r="AJ157" s="3885"/>
      <c r="AK157" s="3885"/>
      <c r="AL157" s="3886" t="str">
        <f>AM156&amp;"-"&amp;AO156</f>
        <v>45474-45657</v>
      </c>
      <c r="AM157" s="3887"/>
      <c r="AN157" s="3881"/>
      <c r="AO157" s="3887"/>
      <c r="AP157" s="3881"/>
      <c r="AQ157" s="3885"/>
      <c r="AR157" s="3885"/>
      <c r="AS157" s="3886" t="str">
        <f>AT156&amp;"-"&amp;AV156</f>
        <v>45658-45838</v>
      </c>
      <c r="AT157" s="3887"/>
      <c r="AU157" s="3881"/>
      <c r="AV157" s="3887"/>
      <c r="AW157" s="3881"/>
      <c r="AX157" s="3885"/>
      <c r="AY157" s="3885"/>
      <c r="AZ157" s="3886" t="str">
        <f>BA156&amp;"-"&amp;BC156</f>
        <v>45839-46022</v>
      </c>
      <c r="BA157" s="3887"/>
      <c r="BB157" s="3881"/>
      <c r="BC157" s="3887"/>
      <c r="BD157" s="3881"/>
      <c r="BE157" s="3885"/>
      <c r="BF157" s="3885"/>
      <c r="BG157" s="3886" t="str">
        <f>BH156&amp;"-"&amp;BJ156</f>
        <v>46023-46203</v>
      </c>
      <c r="BH157" s="3887"/>
      <c r="BI157" s="3881"/>
      <c r="BJ157" s="3887"/>
      <c r="BK157" s="3881"/>
      <c r="BL157" s="3885"/>
      <c r="BM157" s="3885"/>
      <c r="BN157" s="3886" t="str">
        <f>BO156&amp;"-"&amp;BQ156</f>
        <v>46204-46387</v>
      </c>
      <c r="BO157" s="3887"/>
      <c r="BP157" s="3881"/>
      <c r="BQ157" s="3887"/>
      <c r="BR157" s="3881"/>
      <c r="BS157" s="3885"/>
      <c r="BT157" s="3885"/>
      <c r="BU157" s="3886" t="str">
        <f>BV156&amp;"-"&amp;BX156</f>
        <v>46388-46568</v>
      </c>
      <c r="BV157" s="3887"/>
      <c r="BW157" s="3881"/>
      <c r="BX157" s="3887"/>
      <c r="BY157" s="3881"/>
      <c r="BZ157" s="3885"/>
      <c r="CA157" s="3885"/>
      <c r="CB157" s="3886" t="str">
        <f>CC156&amp;"-"&amp;CE156</f>
        <v>46569-46752</v>
      </c>
      <c r="CC157" s="3887"/>
      <c r="CD157" s="3881"/>
      <c r="CE157" s="3887"/>
      <c r="CF157" s="3881"/>
      <c r="CG157" s="3885"/>
      <c r="CH157" s="3885"/>
      <c r="CI157" s="3886" t="str">
        <f>CJ156&amp;"-"&amp;CL156</f>
        <v>46753-46934</v>
      </c>
      <c r="CJ157" s="3887"/>
      <c r="CK157" s="3881"/>
      <c r="CL157" s="3887"/>
      <c r="CM157" s="3881"/>
      <c r="CN157" s="3885"/>
      <c r="CO157" s="3885"/>
      <c r="CP157" s="3886" t="str">
        <f>CQ156&amp;"-"&amp;CS156</f>
        <v>46935-47118</v>
      </c>
      <c r="CQ157" s="3887"/>
      <c r="CR157" s="3881"/>
      <c r="CS157" s="3887"/>
      <c r="CT157" s="3881"/>
      <c r="CU157" s="4203"/>
      <c r="CV157" s="4200"/>
      <c r="CW157" s="4093"/>
      <c r="CX157" s="4196"/>
      <c r="CY157" s="4196" t="str">
        <f>IF(T157="","",T157)</f>
        <v/>
      </c>
      <c r="CZ157" s="4196"/>
      <c r="DA157" s="4196"/>
      <c r="DB157" s="3858">
        <v>0</v>
      </c>
    </row>
    <row s="6735" customFormat="1" customHeight="1" ht="21">
      <c r="A158" s="4183"/>
      <c r="B158" s="4183"/>
      <c r="C158" s="4183"/>
      <c r="D158" s="4183"/>
      <c r="E158" s="4184"/>
      <c r="F158" s="4184"/>
      <c r="G158" s="4184">
        <v>1</v>
      </c>
      <c r="H158" s="4184"/>
      <c r="I158" s="4185"/>
      <c r="J158" s="4186"/>
      <c r="K158" s="4183"/>
      <c r="L158" s="4187"/>
      <c r="M158" s="4188"/>
      <c r="N158" s="4188"/>
      <c r="O158" s="4188"/>
      <c r="P158" s="4189"/>
      <c r="Q158" s="4189"/>
      <c r="R158" s="4205"/>
      <c r="S158" s="6736"/>
      <c r="T158" s="6737" t="s">
        <v>615</v>
      </c>
      <c r="U158" s="6738"/>
      <c r="V158" s="6739"/>
      <c r="W158" s="6740"/>
      <c r="X158" s="6741"/>
      <c r="Y158" s="6742"/>
      <c r="Z158" s="6743"/>
      <c r="AA158" s="6744"/>
      <c r="AB158" s="6745"/>
      <c r="AC158" s="6746"/>
      <c r="AD158" s="6747"/>
      <c r="AE158" s="6748"/>
      <c r="AF158" s="6749"/>
      <c r="AG158" s="6750"/>
      <c r="AH158" s="6751"/>
      <c r="AI158" s="6752"/>
      <c r="AJ158" s="6753"/>
      <c r="AK158" s="6754"/>
      <c r="AL158" s="6755"/>
      <c r="AM158" s="6756"/>
      <c r="AN158" s="6757"/>
      <c r="AO158" s="6758"/>
      <c r="AP158" s="6759"/>
      <c r="AQ158" s="6760"/>
      <c r="AR158" s="6761"/>
      <c r="AS158" s="6762"/>
      <c r="AT158" s="6763"/>
      <c r="AU158" s="6764"/>
      <c r="AV158" s="6765"/>
      <c r="AW158" s="6766"/>
      <c r="AX158" s="6767"/>
      <c r="AY158" s="6768"/>
      <c r="AZ158" s="6769"/>
      <c r="BA158" s="6770"/>
      <c r="BB158" s="6771"/>
      <c r="BC158" s="6772"/>
      <c r="BD158" s="6773"/>
      <c r="BE158" s="6774"/>
      <c r="BF158" s="6775"/>
      <c r="BG158" s="6776"/>
      <c r="BH158" s="6777"/>
      <c r="BI158" s="6778"/>
      <c r="BJ158" s="6779"/>
      <c r="BK158" s="6780"/>
      <c r="BL158" s="6781"/>
      <c r="BM158" s="6782"/>
      <c r="BN158" s="6783"/>
      <c r="BO158" s="6784"/>
      <c r="BP158" s="6785"/>
      <c r="BQ158" s="6786"/>
      <c r="BR158" s="6787"/>
      <c r="BS158" s="6788"/>
      <c r="BT158" s="6789"/>
      <c r="BU158" s="6790"/>
      <c r="BV158" s="6791"/>
      <c r="BW158" s="6792"/>
      <c r="BX158" s="6793"/>
      <c r="BY158" s="6794"/>
      <c r="BZ158" s="6795"/>
      <c r="CA158" s="6796"/>
      <c r="CB158" s="6797"/>
      <c r="CC158" s="6798"/>
      <c r="CD158" s="6799"/>
      <c r="CE158" s="6800"/>
      <c r="CF158" s="6801"/>
      <c r="CG158" s="6802"/>
      <c r="CH158" s="6803"/>
      <c r="CI158" s="6804"/>
      <c r="CJ158" s="6805"/>
      <c r="CK158" s="6806"/>
      <c r="CL158" s="6807"/>
      <c r="CM158" s="6808"/>
      <c r="CN158" s="6809"/>
      <c r="CO158" s="6810"/>
      <c r="CP158" s="6811"/>
      <c r="CQ158" s="6812"/>
      <c r="CR158" s="6813"/>
      <c r="CS158" s="6814"/>
      <c r="CT158" s="6815"/>
      <c r="CU158" s="6816"/>
      <c r="CV158" s="4287" t="s">
        <v>616</v>
      </c>
      <c r="CW158" s="4093"/>
      <c r="CX158" s="4196"/>
      <c r="CY158" s="4196" t="str">
        <f>IF(T158="","",T158)</f>
        <v>Добавить значение признака дифференциации</v>
      </c>
      <c r="CZ158" s="4196"/>
      <c r="DA158" s="4196"/>
      <c r="DB158" s="3858">
        <v>0</v>
      </c>
    </row>
    <row s="6817" customFormat="1" customHeight="1" ht="23.25">
      <c r="A159" s="4183"/>
      <c r="B159" s="4183"/>
      <c r="C159" s="4183"/>
      <c r="D159" s="4183"/>
      <c r="E159" s="4184"/>
      <c r="F159" s="4184"/>
      <c r="G159" s="4184"/>
      <c r="H159" s="4184"/>
      <c r="I159" s="4185"/>
      <c r="J159" s="4186" t="str">
        <f>I154&amp;".2"</f>
        <v>1.6.2.1.2</v>
      </c>
      <c r="K159" s="4183"/>
      <c r="L159" s="4187" t="s">
        <v>538</v>
      </c>
      <c r="M159" s="4188"/>
      <c r="N159" s="4188"/>
      <c r="O159" s="4188"/>
      <c r="P159" s="4189"/>
      <c r="Q159" s="4190" t="s">
        <v>109</v>
      </c>
      <c r="R159" s="4191"/>
      <c r="S159" s="4192" t="str">
        <f>$J159</f>
        <v>1.6.2.1.2</v>
      </c>
      <c r="T159" s="4193" t="s">
        <v>539</v>
      </c>
      <c r="U159" s="4194"/>
      <c r="V159" s="3874"/>
      <c r="W159" s="3875"/>
      <c r="X159" s="3875"/>
      <c r="Y159" s="3875"/>
      <c r="Z159" s="3875"/>
      <c r="AA159" s="3875"/>
      <c r="AB159" s="3876"/>
      <c r="AC159" s="3874" t="s">
        <v>626</v>
      </c>
      <c r="AD159" s="3875"/>
      <c r="AE159" s="3875"/>
      <c r="AF159" s="3875"/>
      <c r="AG159" s="3875"/>
      <c r="AH159" s="3875"/>
      <c r="AI159" s="3875"/>
      <c r="AJ159" s="3874"/>
      <c r="AK159" s="3875"/>
      <c r="AL159" s="3875"/>
      <c r="AM159" s="3875"/>
      <c r="AN159" s="3875"/>
      <c r="AO159" s="3875"/>
      <c r="AP159" s="3876"/>
      <c r="AQ159" s="3874"/>
      <c r="AR159" s="3875"/>
      <c r="AS159" s="3875"/>
      <c r="AT159" s="3875"/>
      <c r="AU159" s="3875"/>
      <c r="AV159" s="3875"/>
      <c r="AW159" s="3876"/>
      <c r="AX159" s="3874"/>
      <c r="AY159" s="3875"/>
      <c r="AZ159" s="3875"/>
      <c r="BA159" s="3875"/>
      <c r="BB159" s="3875"/>
      <c r="BC159" s="3875"/>
      <c r="BD159" s="3876"/>
      <c r="BE159" s="3874"/>
      <c r="BF159" s="3875"/>
      <c r="BG159" s="3875"/>
      <c r="BH159" s="3875"/>
      <c r="BI159" s="3875"/>
      <c r="BJ159" s="3875"/>
      <c r="BK159" s="3876"/>
      <c r="BL159" s="3874"/>
      <c r="BM159" s="3875"/>
      <c r="BN159" s="3875"/>
      <c r="BO159" s="3875"/>
      <c r="BP159" s="3875"/>
      <c r="BQ159" s="3875"/>
      <c r="BR159" s="3876"/>
      <c r="BS159" s="3874"/>
      <c r="BT159" s="3875"/>
      <c r="BU159" s="3875"/>
      <c r="BV159" s="3875"/>
      <c r="BW159" s="3875"/>
      <c r="BX159" s="3875"/>
      <c r="BY159" s="3876"/>
      <c r="BZ159" s="3874"/>
      <c r="CA159" s="3875"/>
      <c r="CB159" s="3875"/>
      <c r="CC159" s="3875"/>
      <c r="CD159" s="3875"/>
      <c r="CE159" s="3875"/>
      <c r="CF159" s="3876"/>
      <c r="CG159" s="3874"/>
      <c r="CH159" s="3875"/>
      <c r="CI159" s="3875"/>
      <c r="CJ159" s="3875"/>
      <c r="CK159" s="3875"/>
      <c r="CL159" s="3875"/>
      <c r="CM159" s="3876"/>
      <c r="CN159" s="3874"/>
      <c r="CO159" s="3875"/>
      <c r="CP159" s="3875"/>
      <c r="CQ159" s="3875"/>
      <c r="CR159" s="3875"/>
      <c r="CS159" s="3875"/>
      <c r="CT159" s="3876"/>
      <c r="CU159" s="3876"/>
      <c r="CV159" s="4195" t="s">
        <v>614</v>
      </c>
      <c r="CW159" s="4093"/>
      <c r="CX159" s="4196"/>
      <c r="CY159" s="4196" t="str">
        <f>IF(T159="","",T159)</f>
        <v>Группа потребителей</v>
      </c>
      <c r="CZ159" s="4196"/>
      <c r="DA159" s="4196"/>
      <c r="DB159" s="3858">
        <v>0</v>
      </c>
    </row>
    <row s="6818" customFormat="1" customHeight="1" ht="23.25">
      <c r="A160" s="4183"/>
      <c r="B160" s="4183"/>
      <c r="C160" s="4183"/>
      <c r="D160" s="4183"/>
      <c r="E160" s="4184"/>
      <c r="F160" s="4184"/>
      <c r="G160" s="4184"/>
      <c r="H160" s="4184"/>
      <c r="I160" s="4185"/>
      <c r="J160" s="4185" t="str">
        <f>I154&amp;".1"</f>
        <v>1.6.2.1.1</v>
      </c>
      <c r="K160" s="4186" t="str">
        <f>J159&amp;".1"</f>
        <v>1.6.2.1.2.1</v>
      </c>
      <c r="L160" s="4187"/>
      <c r="M160" s="4188"/>
      <c r="N160" s="4188"/>
      <c r="O160" s="4188"/>
      <c r="P160" s="4189"/>
      <c r="Q160" s="4189"/>
      <c r="R160" s="4191">
        <v>1</v>
      </c>
      <c r="S160" s="4192" t="str">
        <f>$K160</f>
        <v>1.6.2.1.2.1</v>
      </c>
      <c r="T160" s="4198"/>
      <c r="U160" s="4194"/>
      <c r="V160" s="3878"/>
      <c r="W160" s="3878"/>
      <c r="X160" s="3879"/>
      <c r="Y160" s="3880"/>
      <c r="Z160" s="3881" t="s">
        <v>65</v>
      </c>
      <c r="AA160" s="3880"/>
      <c r="AB160" s="3881" t="s">
        <v>65</v>
      </c>
      <c r="AC160" s="3878">
        <v>68.24</v>
      </c>
      <c r="AD160" s="3878"/>
      <c r="AE160" s="3879"/>
      <c r="AF160" s="3880">
        <v>45292</v>
      </c>
      <c r="AG160" s="3881" t="s">
        <v>65</v>
      </c>
      <c r="AH160" s="4116">
        <v>45473</v>
      </c>
      <c r="AI160" s="3881" t="s">
        <v>65</v>
      </c>
      <c r="AJ160" s="3878">
        <v>70.62</v>
      </c>
      <c r="AK160" s="3878"/>
      <c r="AL160" s="3879"/>
      <c r="AM160" s="3880">
        <v>45474</v>
      </c>
      <c r="AN160" s="3881" t="s">
        <v>65</v>
      </c>
      <c r="AO160" s="3880">
        <v>45657</v>
      </c>
      <c r="AP160" s="3881" t="s">
        <v>65</v>
      </c>
      <c r="AQ160" s="3878">
        <v>70.62</v>
      </c>
      <c r="AR160" s="3878"/>
      <c r="AS160" s="3879"/>
      <c r="AT160" s="3880">
        <v>45658</v>
      </c>
      <c r="AU160" s="3881" t="s">
        <v>65</v>
      </c>
      <c r="AV160" s="3880">
        <v>45838</v>
      </c>
      <c r="AW160" s="3881" t="s">
        <v>65</v>
      </c>
      <c r="AX160" s="3878">
        <v>72.63</v>
      </c>
      <c r="AY160" s="3878"/>
      <c r="AZ160" s="3879"/>
      <c r="BA160" s="3880">
        <v>45839</v>
      </c>
      <c r="BB160" s="3881" t="s">
        <v>65</v>
      </c>
      <c r="BC160" s="3880">
        <v>46022</v>
      </c>
      <c r="BD160" s="3881" t="s">
        <v>65</v>
      </c>
      <c r="BE160" s="3878">
        <v>74.27</v>
      </c>
      <c r="BF160" s="3878"/>
      <c r="BG160" s="3879"/>
      <c r="BH160" s="3880">
        <v>46023</v>
      </c>
      <c r="BI160" s="3881" t="s">
        <v>65</v>
      </c>
      <c r="BJ160" s="3880">
        <v>46203</v>
      </c>
      <c r="BK160" s="3881" t="s">
        <v>65</v>
      </c>
      <c r="BL160" s="3878">
        <v>79.2</v>
      </c>
      <c r="BM160" s="3878"/>
      <c r="BN160" s="3879"/>
      <c r="BO160" s="3880">
        <v>46204</v>
      </c>
      <c r="BP160" s="3881" t="s">
        <v>65</v>
      </c>
      <c r="BQ160" s="3880">
        <v>46387</v>
      </c>
      <c r="BR160" s="3881" t="s">
        <v>65</v>
      </c>
      <c r="BS160" s="3878">
        <v>79.2</v>
      </c>
      <c r="BT160" s="3878"/>
      <c r="BU160" s="3879"/>
      <c r="BV160" s="3880">
        <v>46388</v>
      </c>
      <c r="BW160" s="3881" t="s">
        <v>65</v>
      </c>
      <c r="BX160" s="3880">
        <v>46568</v>
      </c>
      <c r="BY160" s="3881" t="s">
        <v>65</v>
      </c>
      <c r="BZ160" s="3878">
        <v>87.32</v>
      </c>
      <c r="CA160" s="3878"/>
      <c r="CB160" s="3879"/>
      <c r="CC160" s="3880">
        <v>46569</v>
      </c>
      <c r="CD160" s="3881" t="s">
        <v>65</v>
      </c>
      <c r="CE160" s="3880">
        <v>46752</v>
      </c>
      <c r="CF160" s="3881" t="s">
        <v>65</v>
      </c>
      <c r="CG160" s="3878">
        <v>87.32</v>
      </c>
      <c r="CH160" s="3878"/>
      <c r="CI160" s="3879"/>
      <c r="CJ160" s="3880">
        <v>46753</v>
      </c>
      <c r="CK160" s="3881" t="s">
        <v>65</v>
      </c>
      <c r="CL160" s="3880">
        <v>46934</v>
      </c>
      <c r="CM160" s="3881" t="s">
        <v>65</v>
      </c>
      <c r="CN160" s="3878">
        <v>98.29</v>
      </c>
      <c r="CO160" s="3878"/>
      <c r="CP160" s="3879"/>
      <c r="CQ160" s="3880">
        <v>46935</v>
      </c>
      <c r="CR160" s="3881" t="s">
        <v>65</v>
      </c>
      <c r="CS160" s="3880">
        <v>47118</v>
      </c>
      <c r="CT160" s="3881" t="s">
        <v>65</v>
      </c>
      <c r="CU160" s="4199"/>
      <c r="CV16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0" s="4093">
        <f>STRCHECKDATE(V161:CU161)</f>
      </c>
      <c r="CX160" s="4196"/>
      <c r="CY160" s="4196" t="str">
        <f>IF(T160="","",T160)</f>
        <v/>
      </c>
      <c r="CZ160" s="4196"/>
      <c r="DA160" s="4196"/>
      <c r="DB160" s="3858">
        <v>0</v>
      </c>
    </row>
    <row s="6819" customFormat="1" customHeight="1" ht="14.25">
      <c r="A161" s="4183"/>
      <c r="B161" s="4183"/>
      <c r="C161" s="4183"/>
      <c r="D161" s="4183"/>
      <c r="E161" s="4184"/>
      <c r="F161" s="4184"/>
      <c r="G161" s="4184"/>
      <c r="H161" s="4184"/>
      <c r="I161" s="4185"/>
      <c r="J161" s="4185" t="str">
        <f>I154&amp;".1"</f>
        <v>1.6.2.1.1</v>
      </c>
      <c r="K161" s="4186"/>
      <c r="L161" s="4187"/>
      <c r="M161" s="4188"/>
      <c r="N161" s="4188"/>
      <c r="O161" s="4188"/>
      <c r="P161" s="4189"/>
      <c r="Q161" s="4189"/>
      <c r="R161" s="4191"/>
      <c r="S161" s="4202"/>
      <c r="T161" s="4194"/>
      <c r="U161" s="4194"/>
      <c r="V161" s="3885"/>
      <c r="W161" s="3885"/>
      <c r="X161" s="3886" t="str">
        <f>Y160&amp;"-"&amp;AA160</f>
        <v>-</v>
      </c>
      <c r="Y161" s="3887"/>
      <c r="Z161" s="3881"/>
      <c r="AA161" s="3887"/>
      <c r="AB161" s="3881"/>
      <c r="AC161" s="3885"/>
      <c r="AD161" s="3885"/>
      <c r="AE161" s="3886" t="str">
        <f>AF160&amp;"-"&amp;AH160</f>
        <v>45292-45473</v>
      </c>
      <c r="AF161" s="3887"/>
      <c r="AG161" s="3881"/>
      <c r="AH161" s="4118"/>
      <c r="AI161" s="3881"/>
      <c r="AJ161" s="3885"/>
      <c r="AK161" s="3885"/>
      <c r="AL161" s="3886" t="str">
        <f>AM160&amp;"-"&amp;AO160</f>
        <v>45474-45657</v>
      </c>
      <c r="AM161" s="3887"/>
      <c r="AN161" s="3881"/>
      <c r="AO161" s="3887"/>
      <c r="AP161" s="3881"/>
      <c r="AQ161" s="3885"/>
      <c r="AR161" s="3885"/>
      <c r="AS161" s="3886" t="str">
        <f>AT160&amp;"-"&amp;AV160</f>
        <v>45658-45838</v>
      </c>
      <c r="AT161" s="3887"/>
      <c r="AU161" s="3881"/>
      <c r="AV161" s="3887"/>
      <c r="AW161" s="3881"/>
      <c r="AX161" s="3885"/>
      <c r="AY161" s="3885"/>
      <c r="AZ161" s="3886" t="str">
        <f>BA160&amp;"-"&amp;BC160</f>
        <v>45839-46022</v>
      </c>
      <c r="BA161" s="3887"/>
      <c r="BB161" s="3881"/>
      <c r="BC161" s="3887"/>
      <c r="BD161" s="3881"/>
      <c r="BE161" s="3885"/>
      <c r="BF161" s="3885"/>
      <c r="BG161" s="3886" t="str">
        <f>BH160&amp;"-"&amp;BJ160</f>
        <v>46023-46203</v>
      </c>
      <c r="BH161" s="3887"/>
      <c r="BI161" s="3881"/>
      <c r="BJ161" s="3887"/>
      <c r="BK161" s="3881"/>
      <c r="BL161" s="3885"/>
      <c r="BM161" s="3885"/>
      <c r="BN161" s="3886" t="str">
        <f>BO160&amp;"-"&amp;BQ160</f>
        <v>46204-46387</v>
      </c>
      <c r="BO161" s="3887"/>
      <c r="BP161" s="3881"/>
      <c r="BQ161" s="3887"/>
      <c r="BR161" s="3881"/>
      <c r="BS161" s="3885"/>
      <c r="BT161" s="3885"/>
      <c r="BU161" s="3886" t="str">
        <f>BV160&amp;"-"&amp;BX160</f>
        <v>46388-46568</v>
      </c>
      <c r="BV161" s="3887"/>
      <c r="BW161" s="3881"/>
      <c r="BX161" s="3887"/>
      <c r="BY161" s="3881"/>
      <c r="BZ161" s="3885"/>
      <c r="CA161" s="3885"/>
      <c r="CB161" s="3886" t="str">
        <f>CC160&amp;"-"&amp;CE160</f>
        <v>46569-46752</v>
      </c>
      <c r="CC161" s="3887"/>
      <c r="CD161" s="3881"/>
      <c r="CE161" s="3887"/>
      <c r="CF161" s="3881"/>
      <c r="CG161" s="3885"/>
      <c r="CH161" s="3885"/>
      <c r="CI161" s="3886" t="str">
        <f>CJ160&amp;"-"&amp;CL160</f>
        <v>46753-46934</v>
      </c>
      <c r="CJ161" s="3887"/>
      <c r="CK161" s="3881"/>
      <c r="CL161" s="3887"/>
      <c r="CM161" s="3881"/>
      <c r="CN161" s="3885"/>
      <c r="CO161" s="3885"/>
      <c r="CP161" s="3886" t="str">
        <f>CQ160&amp;"-"&amp;CS160</f>
        <v>46935-47118</v>
      </c>
      <c r="CQ161" s="3887"/>
      <c r="CR161" s="3881"/>
      <c r="CS161" s="3887"/>
      <c r="CT161" s="3881"/>
      <c r="CU161" s="4203"/>
      <c r="CV161" s="4200"/>
      <c r="CW161" s="4093"/>
      <c r="CX161" s="4196"/>
      <c r="CY161" s="4196" t="str">
        <f>IF(T161="","",T161)</f>
        <v/>
      </c>
      <c r="CZ161" s="4196"/>
      <c r="DA161" s="4196"/>
      <c r="DB161" s="3858">
        <v>0</v>
      </c>
    </row>
    <row s="6820" customFormat="1" customHeight="1" ht="21">
      <c r="A162" s="4183"/>
      <c r="B162" s="4183"/>
      <c r="C162" s="4183"/>
      <c r="D162" s="4183"/>
      <c r="E162" s="4184"/>
      <c r="F162" s="4184"/>
      <c r="G162" s="4184"/>
      <c r="H162" s="4184"/>
      <c r="I162" s="4185"/>
      <c r="J162" s="4186" t="str">
        <f>I154&amp;".1"</f>
        <v>1.6.2.1.1</v>
      </c>
      <c r="K162" s="4183"/>
      <c r="L162" s="4187"/>
      <c r="M162" s="4188"/>
      <c r="N162" s="4188"/>
      <c r="O162" s="4188"/>
      <c r="P162" s="4189"/>
      <c r="Q162" s="4189"/>
      <c r="R162" s="4205"/>
      <c r="S162" s="6821"/>
      <c r="T162" s="6822" t="s">
        <v>615</v>
      </c>
      <c r="U162" s="6823"/>
      <c r="V162" s="6824"/>
      <c r="W162" s="6825"/>
      <c r="X162" s="6826"/>
      <c r="Y162" s="6827"/>
      <c r="Z162" s="6828"/>
      <c r="AA162" s="6829"/>
      <c r="AB162" s="6830"/>
      <c r="AC162" s="6831"/>
      <c r="AD162" s="6832"/>
      <c r="AE162" s="6833"/>
      <c r="AF162" s="6834"/>
      <c r="AG162" s="6835"/>
      <c r="AH162" s="6836"/>
      <c r="AI162" s="6837"/>
      <c r="AJ162" s="6838"/>
      <c r="AK162" s="6839"/>
      <c r="AL162" s="6840"/>
      <c r="AM162" s="6841"/>
      <c r="AN162" s="6842"/>
      <c r="AO162" s="6843"/>
      <c r="AP162" s="6844"/>
      <c r="AQ162" s="6845"/>
      <c r="AR162" s="6846"/>
      <c r="AS162" s="6847"/>
      <c r="AT162" s="6848"/>
      <c r="AU162" s="6849"/>
      <c r="AV162" s="6850"/>
      <c r="AW162" s="6851"/>
      <c r="AX162" s="6852"/>
      <c r="AY162" s="6853"/>
      <c r="AZ162" s="6854"/>
      <c r="BA162" s="6855"/>
      <c r="BB162" s="6856"/>
      <c r="BC162" s="6857"/>
      <c r="BD162" s="6858"/>
      <c r="BE162" s="6859"/>
      <c r="BF162" s="6860"/>
      <c r="BG162" s="6861"/>
      <c r="BH162" s="6862"/>
      <c r="BI162" s="6863"/>
      <c r="BJ162" s="6864"/>
      <c r="BK162" s="6865"/>
      <c r="BL162" s="6866"/>
      <c r="BM162" s="6867"/>
      <c r="BN162" s="6868"/>
      <c r="BO162" s="6869"/>
      <c r="BP162" s="6870"/>
      <c r="BQ162" s="6871"/>
      <c r="BR162" s="6872"/>
      <c r="BS162" s="6873"/>
      <c r="BT162" s="6874"/>
      <c r="BU162" s="6875"/>
      <c r="BV162" s="6876"/>
      <c r="BW162" s="6877"/>
      <c r="BX162" s="6878"/>
      <c r="BY162" s="6879"/>
      <c r="BZ162" s="6880"/>
      <c r="CA162" s="6881"/>
      <c r="CB162" s="6882"/>
      <c r="CC162" s="6883"/>
      <c r="CD162" s="6884"/>
      <c r="CE162" s="6885"/>
      <c r="CF162" s="6886"/>
      <c r="CG162" s="6887"/>
      <c r="CH162" s="6888"/>
      <c r="CI162" s="6889"/>
      <c r="CJ162" s="6890"/>
      <c r="CK162" s="6891"/>
      <c r="CL162" s="6892"/>
      <c r="CM162" s="6893"/>
      <c r="CN162" s="6894"/>
      <c r="CO162" s="6895"/>
      <c r="CP162" s="6896"/>
      <c r="CQ162" s="6897"/>
      <c r="CR162" s="6898"/>
      <c r="CS162" s="6899"/>
      <c r="CT162" s="6900"/>
      <c r="CU162" s="6901"/>
      <c r="CV162" s="4287" t="s">
        <v>616</v>
      </c>
      <c r="CW162" s="4093"/>
      <c r="CX162" s="4196"/>
      <c r="CY162" s="4196" t="str">
        <f>IF(T162="","",T162)</f>
        <v>Добавить значение признака дифференциации</v>
      </c>
      <c r="CZ162" s="4196"/>
      <c r="DA162" s="4196"/>
      <c r="DB162" s="3858">
        <v>0</v>
      </c>
    </row>
    <row s="6902" customFormat="1" customHeight="1" ht="23.25">
      <c r="A163" s="4183"/>
      <c r="B163" s="4183"/>
      <c r="C163" s="4183"/>
      <c r="D163" s="4183"/>
      <c r="E163" s="4184"/>
      <c r="F163" s="4184"/>
      <c r="G163" s="4184"/>
      <c r="H163" s="4184"/>
      <c r="I163" s="4185"/>
      <c r="J163" s="4186" t="str">
        <f>I154&amp;".3"</f>
        <v>1.6.2.1.3</v>
      </c>
      <c r="K163" s="4183"/>
      <c r="L163" s="4187" t="s">
        <v>538</v>
      </c>
      <c r="M163" s="4188"/>
      <c r="N163" s="4188"/>
      <c r="O163" s="4188"/>
      <c r="P163" s="4189"/>
      <c r="Q163" s="4190" t="s">
        <v>109</v>
      </c>
      <c r="R163" s="4191"/>
      <c r="S163" s="4192" t="str">
        <f>$J163</f>
        <v>1.6.2.1.3</v>
      </c>
      <c r="T163" s="4193" t="s">
        <v>539</v>
      </c>
      <c r="U163" s="4194"/>
      <c r="V163" s="3874"/>
      <c r="W163" s="3875"/>
      <c r="X163" s="3875"/>
      <c r="Y163" s="3875"/>
      <c r="Z163" s="3875"/>
      <c r="AA163" s="3875"/>
      <c r="AB163" s="3876"/>
      <c r="AC163" s="3874" t="s">
        <v>627</v>
      </c>
      <c r="AD163" s="3875"/>
      <c r="AE163" s="3875"/>
      <c r="AF163" s="3875"/>
      <c r="AG163" s="3875"/>
      <c r="AH163" s="3875"/>
      <c r="AI163" s="3875"/>
      <c r="AJ163" s="3874"/>
      <c r="AK163" s="3875"/>
      <c r="AL163" s="3875"/>
      <c r="AM163" s="3875"/>
      <c r="AN163" s="3875"/>
      <c r="AO163" s="3875"/>
      <c r="AP163" s="3876"/>
      <c r="AQ163" s="3874"/>
      <c r="AR163" s="3875"/>
      <c r="AS163" s="3875"/>
      <c r="AT163" s="3875"/>
      <c r="AU163" s="3875"/>
      <c r="AV163" s="3875"/>
      <c r="AW163" s="3876"/>
      <c r="AX163" s="3874"/>
      <c r="AY163" s="3875"/>
      <c r="AZ163" s="3875"/>
      <c r="BA163" s="3875"/>
      <c r="BB163" s="3875"/>
      <c r="BC163" s="3875"/>
      <c r="BD163" s="3876"/>
      <c r="BE163" s="3874"/>
      <c r="BF163" s="3875"/>
      <c r="BG163" s="3875"/>
      <c r="BH163" s="3875"/>
      <c r="BI163" s="3875"/>
      <c r="BJ163" s="3875"/>
      <c r="BK163" s="3876"/>
      <c r="BL163" s="3874"/>
      <c r="BM163" s="3875"/>
      <c r="BN163" s="3875"/>
      <c r="BO163" s="3875"/>
      <c r="BP163" s="3875"/>
      <c r="BQ163" s="3875"/>
      <c r="BR163" s="3876"/>
      <c r="BS163" s="3874"/>
      <c r="BT163" s="3875"/>
      <c r="BU163" s="3875"/>
      <c r="BV163" s="3875"/>
      <c r="BW163" s="3875"/>
      <c r="BX163" s="3875"/>
      <c r="BY163" s="3876"/>
      <c r="BZ163" s="3874"/>
      <c r="CA163" s="3875"/>
      <c r="CB163" s="3875"/>
      <c r="CC163" s="3875"/>
      <c r="CD163" s="3875"/>
      <c r="CE163" s="3875"/>
      <c r="CF163" s="3876"/>
      <c r="CG163" s="3874"/>
      <c r="CH163" s="3875"/>
      <c r="CI163" s="3875"/>
      <c r="CJ163" s="3875"/>
      <c r="CK163" s="3875"/>
      <c r="CL163" s="3875"/>
      <c r="CM163" s="3876"/>
      <c r="CN163" s="3874"/>
      <c r="CO163" s="3875"/>
      <c r="CP163" s="3875"/>
      <c r="CQ163" s="3875"/>
      <c r="CR163" s="3875"/>
      <c r="CS163" s="3875"/>
      <c r="CT163" s="3876"/>
      <c r="CU163" s="3876"/>
      <c r="CV163" s="4195" t="s">
        <v>614</v>
      </c>
      <c r="CW163" s="4093"/>
      <c r="CX163" s="4196"/>
      <c r="CY163" s="4196" t="str">
        <f>IF(T163="","",T163)</f>
        <v>Группа потребителей</v>
      </c>
      <c r="CZ163" s="4196"/>
      <c r="DA163" s="4196"/>
      <c r="DB163" s="3858">
        <v>0</v>
      </c>
    </row>
    <row s="6903" customFormat="1" customHeight="1" ht="23.25">
      <c r="A164" s="4183"/>
      <c r="B164" s="4183"/>
      <c r="C164" s="4183"/>
      <c r="D164" s="4183"/>
      <c r="E164" s="4184"/>
      <c r="F164" s="4184"/>
      <c r="G164" s="4184"/>
      <c r="H164" s="4184"/>
      <c r="I164" s="4185"/>
      <c r="J164" s="4185" t="str">
        <f>I154&amp;".2"</f>
        <v>1.6.2.1.2</v>
      </c>
      <c r="K164" s="4186" t="str">
        <f>J163&amp;".1"</f>
        <v>1.6.2.1.3.1</v>
      </c>
      <c r="L164" s="4187"/>
      <c r="M164" s="4188"/>
      <c r="N164" s="4188"/>
      <c r="O164" s="4188"/>
      <c r="P164" s="4189"/>
      <c r="Q164" s="4189"/>
      <c r="R164" s="4191">
        <v>1</v>
      </c>
      <c r="S164" s="4192" t="str">
        <f>$K164</f>
        <v>1.6.2.1.3.1</v>
      </c>
      <c r="T164" s="4198"/>
      <c r="U164" s="4194"/>
      <c r="V164" s="3878"/>
      <c r="W164" s="3878"/>
      <c r="X164" s="3879"/>
      <c r="Y164" s="3880"/>
      <c r="Z164" s="3881" t="s">
        <v>65</v>
      </c>
      <c r="AA164" s="3880"/>
      <c r="AB164" s="3881" t="s">
        <v>65</v>
      </c>
      <c r="AC164" s="3878">
        <v>68.24</v>
      </c>
      <c r="AD164" s="3878"/>
      <c r="AE164" s="3879"/>
      <c r="AF164" s="3880">
        <v>45292</v>
      </c>
      <c r="AG164" s="3881" t="s">
        <v>65</v>
      </c>
      <c r="AH164" s="4116">
        <v>45473</v>
      </c>
      <c r="AI164" s="3881" t="s">
        <v>65</v>
      </c>
      <c r="AJ164" s="3878">
        <v>70.62</v>
      </c>
      <c r="AK164" s="3878"/>
      <c r="AL164" s="3879"/>
      <c r="AM164" s="3880">
        <v>45474</v>
      </c>
      <c r="AN164" s="3881" t="s">
        <v>65</v>
      </c>
      <c r="AO164" s="3880">
        <v>45657</v>
      </c>
      <c r="AP164" s="3881" t="s">
        <v>65</v>
      </c>
      <c r="AQ164" s="3878">
        <v>70.62</v>
      </c>
      <c r="AR164" s="3878"/>
      <c r="AS164" s="3879"/>
      <c r="AT164" s="3880">
        <v>45658</v>
      </c>
      <c r="AU164" s="3881" t="s">
        <v>65</v>
      </c>
      <c r="AV164" s="3880">
        <v>45838</v>
      </c>
      <c r="AW164" s="3881" t="s">
        <v>65</v>
      </c>
      <c r="AX164" s="3878">
        <v>72.63</v>
      </c>
      <c r="AY164" s="3878"/>
      <c r="AZ164" s="3879"/>
      <c r="BA164" s="3880">
        <v>45839</v>
      </c>
      <c r="BB164" s="3881" t="s">
        <v>65</v>
      </c>
      <c r="BC164" s="3880">
        <v>46022</v>
      </c>
      <c r="BD164" s="3881" t="s">
        <v>65</v>
      </c>
      <c r="BE164" s="3878">
        <v>74.27</v>
      </c>
      <c r="BF164" s="3878"/>
      <c r="BG164" s="3879"/>
      <c r="BH164" s="3880">
        <v>46023</v>
      </c>
      <c r="BI164" s="3881" t="s">
        <v>65</v>
      </c>
      <c r="BJ164" s="3880">
        <v>46203</v>
      </c>
      <c r="BK164" s="3881" t="s">
        <v>65</v>
      </c>
      <c r="BL164" s="3878">
        <v>79.2</v>
      </c>
      <c r="BM164" s="3878"/>
      <c r="BN164" s="3879"/>
      <c r="BO164" s="3880">
        <v>46204</v>
      </c>
      <c r="BP164" s="3881" t="s">
        <v>65</v>
      </c>
      <c r="BQ164" s="3880">
        <v>46387</v>
      </c>
      <c r="BR164" s="3881" t="s">
        <v>65</v>
      </c>
      <c r="BS164" s="3878">
        <v>79.2</v>
      </c>
      <c r="BT164" s="3878"/>
      <c r="BU164" s="3879"/>
      <c r="BV164" s="3880">
        <v>46388</v>
      </c>
      <c r="BW164" s="3881" t="s">
        <v>65</v>
      </c>
      <c r="BX164" s="3880">
        <v>46568</v>
      </c>
      <c r="BY164" s="3881" t="s">
        <v>65</v>
      </c>
      <c r="BZ164" s="3878">
        <v>87.32</v>
      </c>
      <c r="CA164" s="3878"/>
      <c r="CB164" s="3879"/>
      <c r="CC164" s="3880">
        <v>46569</v>
      </c>
      <c r="CD164" s="3881" t="s">
        <v>65</v>
      </c>
      <c r="CE164" s="3880">
        <v>46752</v>
      </c>
      <c r="CF164" s="3881" t="s">
        <v>65</v>
      </c>
      <c r="CG164" s="3878">
        <v>87.32</v>
      </c>
      <c r="CH164" s="3878"/>
      <c r="CI164" s="3879"/>
      <c r="CJ164" s="3880">
        <v>46753</v>
      </c>
      <c r="CK164" s="3881" t="s">
        <v>65</v>
      </c>
      <c r="CL164" s="3880">
        <v>46934</v>
      </c>
      <c r="CM164" s="3881" t="s">
        <v>65</v>
      </c>
      <c r="CN164" s="3878">
        <v>98.29</v>
      </c>
      <c r="CO164" s="3878"/>
      <c r="CP164" s="3879"/>
      <c r="CQ164" s="3880">
        <v>46935</v>
      </c>
      <c r="CR164" s="3881" t="s">
        <v>65</v>
      </c>
      <c r="CS164" s="3880">
        <v>47118</v>
      </c>
      <c r="CT164" s="3881" t="s">
        <v>65</v>
      </c>
      <c r="CU164" s="4199"/>
      <c r="CV16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64" s="4093">
        <f>STRCHECKDATE(V165:CU165)</f>
      </c>
      <c r="CX164" s="4196"/>
      <c r="CY164" s="4196" t="str">
        <f>IF(T164="","",T164)</f>
        <v/>
      </c>
      <c r="CZ164" s="4196"/>
      <c r="DA164" s="4196"/>
      <c r="DB164" s="3858">
        <v>0</v>
      </c>
    </row>
    <row s="6904" customFormat="1" customHeight="1" ht="14.25">
      <c r="A165" s="4183"/>
      <c r="B165" s="4183"/>
      <c r="C165" s="4183"/>
      <c r="D165" s="4183"/>
      <c r="E165" s="4184"/>
      <c r="F165" s="4184"/>
      <c r="G165" s="4184"/>
      <c r="H165" s="4184"/>
      <c r="I165" s="4185"/>
      <c r="J165" s="4185" t="str">
        <f>I154&amp;".2"</f>
        <v>1.6.2.1.2</v>
      </c>
      <c r="K165" s="4186"/>
      <c r="L165" s="4187"/>
      <c r="M165" s="4188"/>
      <c r="N165" s="4188"/>
      <c r="O165" s="4188"/>
      <c r="P165" s="4189"/>
      <c r="Q165" s="4189"/>
      <c r="R165" s="4191"/>
      <c r="S165" s="4202"/>
      <c r="T165" s="4194"/>
      <c r="U165" s="4194"/>
      <c r="V165" s="3885"/>
      <c r="W165" s="3885"/>
      <c r="X165" s="3886" t="str">
        <f>Y164&amp;"-"&amp;AA164</f>
        <v>-</v>
      </c>
      <c r="Y165" s="3887"/>
      <c r="Z165" s="3881"/>
      <c r="AA165" s="3887"/>
      <c r="AB165" s="3881"/>
      <c r="AC165" s="3885"/>
      <c r="AD165" s="3885"/>
      <c r="AE165" s="3886" t="str">
        <f>AF164&amp;"-"&amp;AH164</f>
        <v>45292-45473</v>
      </c>
      <c r="AF165" s="3887"/>
      <c r="AG165" s="3881"/>
      <c r="AH165" s="4118"/>
      <c r="AI165" s="3881"/>
      <c r="AJ165" s="3885"/>
      <c r="AK165" s="3885"/>
      <c r="AL165" s="3886" t="str">
        <f>AM164&amp;"-"&amp;AO164</f>
        <v>45474-45657</v>
      </c>
      <c r="AM165" s="3887"/>
      <c r="AN165" s="3881"/>
      <c r="AO165" s="3887"/>
      <c r="AP165" s="3881"/>
      <c r="AQ165" s="3885"/>
      <c r="AR165" s="3885"/>
      <c r="AS165" s="3886" t="str">
        <f>AT164&amp;"-"&amp;AV164</f>
        <v>45658-45838</v>
      </c>
      <c r="AT165" s="3887"/>
      <c r="AU165" s="3881"/>
      <c r="AV165" s="3887"/>
      <c r="AW165" s="3881"/>
      <c r="AX165" s="3885"/>
      <c r="AY165" s="3885"/>
      <c r="AZ165" s="3886" t="str">
        <f>BA164&amp;"-"&amp;BC164</f>
        <v>45839-46022</v>
      </c>
      <c r="BA165" s="3887"/>
      <c r="BB165" s="3881"/>
      <c r="BC165" s="3887"/>
      <c r="BD165" s="3881"/>
      <c r="BE165" s="3885"/>
      <c r="BF165" s="3885"/>
      <c r="BG165" s="3886" t="str">
        <f>BH164&amp;"-"&amp;BJ164</f>
        <v>46023-46203</v>
      </c>
      <c r="BH165" s="3887"/>
      <c r="BI165" s="3881"/>
      <c r="BJ165" s="3887"/>
      <c r="BK165" s="3881"/>
      <c r="BL165" s="3885"/>
      <c r="BM165" s="3885"/>
      <c r="BN165" s="3886" t="str">
        <f>BO164&amp;"-"&amp;BQ164</f>
        <v>46204-46387</v>
      </c>
      <c r="BO165" s="3887"/>
      <c r="BP165" s="3881"/>
      <c r="BQ165" s="3887"/>
      <c r="BR165" s="3881"/>
      <c r="BS165" s="3885"/>
      <c r="BT165" s="3885"/>
      <c r="BU165" s="3886" t="str">
        <f>BV164&amp;"-"&amp;BX164</f>
        <v>46388-46568</v>
      </c>
      <c r="BV165" s="3887"/>
      <c r="BW165" s="3881"/>
      <c r="BX165" s="3887"/>
      <c r="BY165" s="3881"/>
      <c r="BZ165" s="3885"/>
      <c r="CA165" s="3885"/>
      <c r="CB165" s="3886" t="str">
        <f>CC164&amp;"-"&amp;CE164</f>
        <v>46569-46752</v>
      </c>
      <c r="CC165" s="3887"/>
      <c r="CD165" s="3881"/>
      <c r="CE165" s="3887"/>
      <c r="CF165" s="3881"/>
      <c r="CG165" s="3885"/>
      <c r="CH165" s="3885"/>
      <c r="CI165" s="3886" t="str">
        <f>CJ164&amp;"-"&amp;CL164</f>
        <v>46753-46934</v>
      </c>
      <c r="CJ165" s="3887"/>
      <c r="CK165" s="3881"/>
      <c r="CL165" s="3887"/>
      <c r="CM165" s="3881"/>
      <c r="CN165" s="3885"/>
      <c r="CO165" s="3885"/>
      <c r="CP165" s="3886" t="str">
        <f>CQ164&amp;"-"&amp;CS164</f>
        <v>46935-47118</v>
      </c>
      <c r="CQ165" s="3887"/>
      <c r="CR165" s="3881"/>
      <c r="CS165" s="3887"/>
      <c r="CT165" s="3881"/>
      <c r="CU165" s="4203"/>
      <c r="CV165" s="4200"/>
      <c r="CW165" s="4093"/>
      <c r="CX165" s="4196"/>
      <c r="CY165" s="4196" t="str">
        <f>IF(T165="","",T165)</f>
        <v/>
      </c>
      <c r="CZ165" s="4196"/>
      <c r="DA165" s="4196"/>
      <c r="DB165" s="3858">
        <v>0</v>
      </c>
    </row>
    <row s="6905" customFormat="1" customHeight="1" ht="21">
      <c r="A166" s="4183"/>
      <c r="B166" s="4183"/>
      <c r="C166" s="4183"/>
      <c r="D166" s="4183"/>
      <c r="E166" s="4184"/>
      <c r="F166" s="4184"/>
      <c r="G166" s="4184"/>
      <c r="H166" s="4184"/>
      <c r="I166" s="4185"/>
      <c r="J166" s="4186" t="str">
        <f>I154&amp;".2"</f>
        <v>1.6.2.1.2</v>
      </c>
      <c r="K166" s="4183"/>
      <c r="L166" s="4187"/>
      <c r="M166" s="4188"/>
      <c r="N166" s="4188"/>
      <c r="O166" s="4188"/>
      <c r="P166" s="4189"/>
      <c r="Q166" s="4189"/>
      <c r="R166" s="4205"/>
      <c r="S166" s="6906"/>
      <c r="T166" s="6907" t="s">
        <v>615</v>
      </c>
      <c r="U166" s="6908"/>
      <c r="V166" s="6909"/>
      <c r="W166" s="6910"/>
      <c r="X166" s="6911"/>
      <c r="Y166" s="6912"/>
      <c r="Z166" s="6913"/>
      <c r="AA166" s="6914"/>
      <c r="AB166" s="6915"/>
      <c r="AC166" s="6916"/>
      <c r="AD166" s="6917"/>
      <c r="AE166" s="6918"/>
      <c r="AF166" s="6919"/>
      <c r="AG166" s="6920"/>
      <c r="AH166" s="6921"/>
      <c r="AI166" s="6922"/>
      <c r="AJ166" s="6923"/>
      <c r="AK166" s="6924"/>
      <c r="AL166" s="6925"/>
      <c r="AM166" s="6926"/>
      <c r="AN166" s="6927"/>
      <c r="AO166" s="6928"/>
      <c r="AP166" s="6929"/>
      <c r="AQ166" s="6930"/>
      <c r="AR166" s="6931"/>
      <c r="AS166" s="6932"/>
      <c r="AT166" s="6933"/>
      <c r="AU166" s="6934"/>
      <c r="AV166" s="6935"/>
      <c r="AW166" s="6936"/>
      <c r="AX166" s="6937"/>
      <c r="AY166" s="6938"/>
      <c r="AZ166" s="6939"/>
      <c r="BA166" s="6940"/>
      <c r="BB166" s="6941"/>
      <c r="BC166" s="6942"/>
      <c r="BD166" s="6943"/>
      <c r="BE166" s="6944"/>
      <c r="BF166" s="6945"/>
      <c r="BG166" s="6946"/>
      <c r="BH166" s="6947"/>
      <c r="BI166" s="6948"/>
      <c r="BJ166" s="6949"/>
      <c r="BK166" s="6950"/>
      <c r="BL166" s="6951"/>
      <c r="BM166" s="6952"/>
      <c r="BN166" s="6953"/>
      <c r="BO166" s="6954"/>
      <c r="BP166" s="6955"/>
      <c r="BQ166" s="6956"/>
      <c r="BR166" s="6957"/>
      <c r="BS166" s="6958"/>
      <c r="BT166" s="6959"/>
      <c r="BU166" s="6960"/>
      <c r="BV166" s="6961"/>
      <c r="BW166" s="6962"/>
      <c r="BX166" s="6963"/>
      <c r="BY166" s="6964"/>
      <c r="BZ166" s="6965"/>
      <c r="CA166" s="6966"/>
      <c r="CB166" s="6967"/>
      <c r="CC166" s="6968"/>
      <c r="CD166" s="6969"/>
      <c r="CE166" s="6970"/>
      <c r="CF166" s="6971"/>
      <c r="CG166" s="6972"/>
      <c r="CH166" s="6973"/>
      <c r="CI166" s="6974"/>
      <c r="CJ166" s="6975"/>
      <c r="CK166" s="6976"/>
      <c r="CL166" s="6977"/>
      <c r="CM166" s="6978"/>
      <c r="CN166" s="6979"/>
      <c r="CO166" s="6980"/>
      <c r="CP166" s="6981"/>
      <c r="CQ166" s="6982"/>
      <c r="CR166" s="6983"/>
      <c r="CS166" s="6984"/>
      <c r="CT166" s="6985"/>
      <c r="CU166" s="6986"/>
      <c r="CV166" s="4287" t="s">
        <v>616</v>
      </c>
      <c r="CW166" s="4093"/>
      <c r="CX166" s="4196"/>
      <c r="CY166" s="4196" t="str">
        <f>IF(T166="","",T166)</f>
        <v>Добавить значение признака дифференциации</v>
      </c>
      <c r="CZ166" s="4196"/>
      <c r="DA166" s="4196"/>
      <c r="DB166" s="3858">
        <v>0</v>
      </c>
    </row>
    <row s="6987" customFormat="1" customHeight="1" ht="21">
      <c r="A167" s="4183"/>
      <c r="B167" s="4183"/>
      <c r="C167" s="4183"/>
      <c r="D167" s="4183"/>
      <c r="E167" s="4184"/>
      <c r="F167" s="4184"/>
      <c r="G167" s="4184">
        <v>1</v>
      </c>
      <c r="H167" s="4184"/>
      <c r="I167" s="4186"/>
      <c r="J167" s="4183"/>
      <c r="K167" s="4183"/>
      <c r="L167" s="4187"/>
      <c r="M167" s="4188"/>
      <c r="N167" s="4188"/>
      <c r="O167" s="4188"/>
      <c r="P167" s="4189"/>
      <c r="Q167" s="4189"/>
      <c r="R167" s="4205"/>
      <c r="S167" s="6988"/>
      <c r="T167" s="6989" t="s">
        <v>544</v>
      </c>
      <c r="U167" s="6990"/>
      <c r="V167" s="6991"/>
      <c r="W167" s="6992"/>
      <c r="X167" s="6993"/>
      <c r="Y167" s="6994"/>
      <c r="Z167" s="6995"/>
      <c r="AA167" s="6996"/>
      <c r="AB167" s="6997"/>
      <c r="AC167" s="6998"/>
      <c r="AD167" s="6999"/>
      <c r="AE167" s="7000"/>
      <c r="AF167" s="7001"/>
      <c r="AG167" s="7002"/>
      <c r="AH167" s="7003"/>
      <c r="AI167" s="7004"/>
      <c r="AJ167" s="7005"/>
      <c r="AK167" s="7006"/>
      <c r="AL167" s="7007"/>
      <c r="AM167" s="7008"/>
      <c r="AN167" s="7009"/>
      <c r="AO167" s="7010"/>
      <c r="AP167" s="7011"/>
      <c r="AQ167" s="7012"/>
      <c r="AR167" s="7013"/>
      <c r="AS167" s="7014"/>
      <c r="AT167" s="7015"/>
      <c r="AU167" s="7016"/>
      <c r="AV167" s="7017"/>
      <c r="AW167" s="7018"/>
      <c r="AX167" s="7019"/>
      <c r="AY167" s="7020"/>
      <c r="AZ167" s="7021"/>
      <c r="BA167" s="7022"/>
      <c r="BB167" s="7023"/>
      <c r="BC167" s="7024"/>
      <c r="BD167" s="7025"/>
      <c r="BE167" s="7026"/>
      <c r="BF167" s="7027"/>
      <c r="BG167" s="7028"/>
      <c r="BH167" s="7029"/>
      <c r="BI167" s="7030"/>
      <c r="BJ167" s="7031"/>
      <c r="BK167" s="7032"/>
      <c r="BL167" s="7033"/>
      <c r="BM167" s="7034"/>
      <c r="BN167" s="7035"/>
      <c r="BO167" s="7036"/>
      <c r="BP167" s="7037"/>
      <c r="BQ167" s="7038"/>
      <c r="BR167" s="7039"/>
      <c r="BS167" s="7040"/>
      <c r="BT167" s="7041"/>
      <c r="BU167" s="7042"/>
      <c r="BV167" s="7043"/>
      <c r="BW167" s="7044"/>
      <c r="BX167" s="7045"/>
      <c r="BY167" s="7046"/>
      <c r="BZ167" s="7047"/>
      <c r="CA167" s="7048"/>
      <c r="CB167" s="7049"/>
      <c r="CC167" s="7050"/>
      <c r="CD167" s="7051"/>
      <c r="CE167" s="7052"/>
      <c r="CF167" s="7053"/>
      <c r="CG167" s="7054"/>
      <c r="CH167" s="7055"/>
      <c r="CI167" s="7056"/>
      <c r="CJ167" s="7057"/>
      <c r="CK167" s="7058"/>
      <c r="CL167" s="7059"/>
      <c r="CM167" s="7060"/>
      <c r="CN167" s="7061"/>
      <c r="CO167" s="7062"/>
      <c r="CP167" s="7063"/>
      <c r="CQ167" s="7064"/>
      <c r="CR167" s="7065"/>
      <c r="CS167" s="7066"/>
      <c r="CT167" s="7067"/>
      <c r="CU167" s="7068"/>
      <c r="CV167" s="7069"/>
      <c r="CW167" s="4093"/>
      <c r="CX167" s="4196"/>
      <c r="CY167" s="4196" t="str">
        <f>IF(T167="","",T167)</f>
        <v>Добавить группу потребителей</v>
      </c>
      <c r="CZ167" s="4196"/>
      <c r="DA167" s="4196"/>
      <c r="DB167" s="3858">
        <v>0</v>
      </c>
    </row>
    <row s="7070" customFormat="1" customHeight="1" ht="14.25">
      <c r="A168" s="4183"/>
      <c r="B168" s="4183"/>
      <c r="C168" s="4183"/>
      <c r="D168" s="4183"/>
      <c r="E168" s="4184"/>
      <c r="F168" s="4184"/>
      <c r="G168" s="4184">
        <v>1</v>
      </c>
      <c r="H168" s="4500"/>
      <c r="I168" s="4183"/>
      <c r="J168" s="4183"/>
      <c r="K168" s="4183"/>
      <c r="L168" s="4187"/>
      <c r="M168" s="4501"/>
      <c r="N168" s="4501"/>
      <c r="O168" s="4083"/>
      <c r="P168" s="4853"/>
      <c r="Q168" s="4854"/>
      <c r="R168" s="4855"/>
      <c r="S168" s="7071"/>
      <c r="T168" s="7072" t="s">
        <v>617</v>
      </c>
      <c r="U168" s="7073"/>
      <c r="V168" s="7074"/>
      <c r="W168" s="7075"/>
      <c r="X168" s="7076"/>
      <c r="Y168" s="7077"/>
      <c r="Z168" s="7078"/>
      <c r="AA168" s="7079"/>
      <c r="AB168" s="7080"/>
      <c r="AC168" s="7081"/>
      <c r="AD168" s="7082"/>
      <c r="AE168" s="7083"/>
      <c r="AF168" s="7084"/>
      <c r="AG168" s="7085"/>
      <c r="AH168" s="7086"/>
      <c r="AI168" s="7087"/>
      <c r="AJ168" s="7088"/>
      <c r="AK168" s="7089"/>
      <c r="AL168" s="7090"/>
      <c r="AM168" s="7091"/>
      <c r="AN168" s="7092"/>
      <c r="AO168" s="7093"/>
      <c r="AP168" s="7094"/>
      <c r="AQ168" s="7095"/>
      <c r="AR168" s="7096"/>
      <c r="AS168" s="7097"/>
      <c r="AT168" s="7098"/>
      <c r="AU168" s="7099"/>
      <c r="AV168" s="7100"/>
      <c r="AW168" s="7101"/>
      <c r="AX168" s="7102"/>
      <c r="AY168" s="7103"/>
      <c r="AZ168" s="7104"/>
      <c r="BA168" s="7105"/>
      <c r="BB168" s="7106"/>
      <c r="BC168" s="7107"/>
      <c r="BD168" s="7108"/>
      <c r="BE168" s="7109"/>
      <c r="BF168" s="7110"/>
      <c r="BG168" s="7111"/>
      <c r="BH168" s="7112"/>
      <c r="BI168" s="7113"/>
      <c r="BJ168" s="7114"/>
      <c r="BK168" s="7115"/>
      <c r="BL168" s="7116"/>
      <c r="BM168" s="7117"/>
      <c r="BN168" s="7118"/>
      <c r="BO168" s="7119"/>
      <c r="BP168" s="7120"/>
      <c r="BQ168" s="7121"/>
      <c r="BR168" s="7122"/>
      <c r="BS168" s="7123"/>
      <c r="BT168" s="7124"/>
      <c r="BU168" s="7125"/>
      <c r="BV168" s="7126"/>
      <c r="BW168" s="7127"/>
      <c r="BX168" s="7128"/>
      <c r="BY168" s="7129"/>
      <c r="BZ168" s="7130"/>
      <c r="CA168" s="7131"/>
      <c r="CB168" s="7132"/>
      <c r="CC168" s="7133"/>
      <c r="CD168" s="7134"/>
      <c r="CE168" s="7135"/>
      <c r="CF168" s="7136"/>
      <c r="CG168" s="7137"/>
      <c r="CH168" s="7138"/>
      <c r="CI168" s="7139"/>
      <c r="CJ168" s="7140"/>
      <c r="CK168" s="7141"/>
      <c r="CL168" s="7142"/>
      <c r="CM168" s="7143"/>
      <c r="CN168" s="7144"/>
      <c r="CO168" s="7145"/>
      <c r="CP168" s="7146"/>
      <c r="CQ168" s="7147"/>
      <c r="CR168" s="7148"/>
      <c r="CS168" s="7149"/>
      <c r="CT168" s="7150"/>
      <c r="CU168" s="7151"/>
      <c r="CV168" s="7152"/>
      <c r="CW168" s="4093"/>
      <c r="CX168" s="4196"/>
      <c r="CY168" s="4196" t="str">
        <f>IF(T168="","",T168)</f>
        <v>Добавить наименование признака дифференциации</v>
      </c>
      <c r="CZ168" s="4196"/>
      <c r="DA168" s="4196"/>
      <c r="DB168" s="3858">
        <v>0</v>
      </c>
    </row>
    <row s="7153" customFormat="1" customHeight="1" ht="14.25">
      <c r="A169" s="4939"/>
      <c r="B169" s="4939"/>
      <c r="C169" s="4939"/>
      <c r="D169" s="4939"/>
      <c r="E169" s="4184"/>
      <c r="F169" s="4500" t="s">
        <v>122</v>
      </c>
      <c r="G169" s="4939"/>
      <c r="H169" s="4939"/>
      <c r="I169" s="4939"/>
      <c r="J169" s="4939"/>
      <c r="K169" s="4939"/>
      <c r="L169" s="4940"/>
      <c r="M169" s="4941"/>
      <c r="N169" s="4941"/>
      <c r="O169" s="4093"/>
      <c r="P169" s="4942"/>
      <c r="Q169" s="4943"/>
      <c r="R169" s="4942"/>
      <c r="S169" s="4944"/>
      <c r="T169" s="4945" t="s">
        <v>302</v>
      </c>
      <c r="U169" s="4081"/>
      <c r="V169" s="4081"/>
      <c r="W169" s="4081"/>
      <c r="X169" s="4081"/>
      <c r="Y169" s="4081"/>
      <c r="Z169" s="4081"/>
      <c r="AA169" s="4081"/>
      <c r="AB169" s="4081"/>
      <c r="AC169" s="4081"/>
      <c r="AD169" s="4081"/>
      <c r="AE169" s="4081"/>
      <c r="AF169" s="4081"/>
      <c r="AG169" s="4081"/>
      <c r="AH169" s="4081"/>
      <c r="AI169" s="4081"/>
      <c r="AJ169" s="4081"/>
      <c r="AK169" s="4081"/>
      <c r="AL169" s="4081"/>
      <c r="AM169" s="4081"/>
      <c r="AN169" s="4081"/>
      <c r="AO169" s="4081"/>
      <c r="AP169" s="4081"/>
      <c r="AQ169" s="4081"/>
      <c r="AR169" s="4081"/>
      <c r="AS169" s="4081"/>
      <c r="AT169" s="4081"/>
      <c r="AU169" s="4081"/>
      <c r="AV169" s="4081"/>
      <c r="AW169" s="4081"/>
      <c r="AX169" s="4081"/>
      <c r="AY169" s="4081"/>
      <c r="AZ169" s="4081"/>
      <c r="BA169" s="4081"/>
      <c r="BB169" s="4081"/>
      <c r="BC169" s="4081"/>
      <c r="BD169" s="4081"/>
      <c r="BE169" s="4081"/>
      <c r="BF169" s="4081"/>
      <c r="BG169" s="4081"/>
      <c r="BH169" s="4081"/>
      <c r="BI169" s="4081"/>
      <c r="BJ169" s="4081"/>
      <c r="BK169" s="4081"/>
      <c r="BL169" s="4081"/>
      <c r="BM169" s="4081"/>
      <c r="BN169" s="4081"/>
      <c r="BO169" s="4081"/>
      <c r="BP169" s="4081"/>
      <c r="BQ169" s="4081"/>
      <c r="BR169" s="4081"/>
      <c r="BS169" s="4081"/>
      <c r="BT169" s="4081"/>
      <c r="BU169" s="4081"/>
      <c r="BV169" s="4081"/>
      <c r="BW169" s="4081"/>
      <c r="BX169" s="4081"/>
      <c r="BY169" s="4081"/>
      <c r="BZ169" s="4081"/>
      <c r="CA169" s="4081"/>
      <c r="CB169" s="4081"/>
      <c r="CC169" s="4081"/>
      <c r="CD169" s="4081"/>
      <c r="CE169" s="4081"/>
      <c r="CF169" s="4081"/>
      <c r="CG169" s="4081"/>
      <c r="CH169" s="4081"/>
      <c r="CI169" s="4081"/>
      <c r="CJ169" s="4081"/>
      <c r="CK169" s="4081"/>
      <c r="CL169" s="4081"/>
      <c r="CM169" s="4081"/>
      <c r="CN169" s="4081"/>
      <c r="CO169" s="4081"/>
      <c r="CP169" s="4081"/>
      <c r="CQ169" s="4081"/>
      <c r="CR169" s="4081"/>
      <c r="CS169" s="4081"/>
      <c r="CT169" s="4081"/>
      <c r="CU169" s="4081"/>
      <c r="CV169" s="4081"/>
      <c r="CW169" s="4093"/>
      <c r="CX169" s="4196"/>
      <c r="CY169" s="4196" t="str">
        <f>IF(T169="","",T169)</f>
        <v>Добавить централизованную систему для дифференциации</v>
      </c>
      <c r="CZ169" s="4196"/>
      <c r="DA169" s="4196"/>
      <c r="DB169" s="4093">
        <v>0</v>
      </c>
    </row>
    <row s="7154" customFormat="1" customHeight="1" ht="23.25">
      <c r="A170" s="4183"/>
      <c r="B170" s="4183" t="s">
        <v>322</v>
      </c>
      <c r="C170" s="4183"/>
      <c r="D170" s="4183"/>
      <c r="E170" s="4184"/>
      <c r="F170" s="4500" t="s">
        <v>97</v>
      </c>
      <c r="G170" s="4183"/>
      <c r="H170" s="4183"/>
      <c r="I170" s="4183"/>
      <c r="J170" s="4183"/>
      <c r="K170" s="4183"/>
      <c r="L170" s="4187"/>
      <c r="M170" s="4501"/>
      <c r="N170" s="4501"/>
      <c r="O170" s="4501"/>
      <c r="P170" s="4502"/>
      <c r="Q170" s="4503"/>
      <c r="R170" s="4504"/>
      <c r="S170" s="4192" t="str">
        <f>INDEX(PT_DIFFERENTIATION_NUM_TER,MATCH(B170,PT_DIFFERENTIATION_TER_ID,0))</f>
        <v>1.7</v>
      </c>
      <c r="T170" s="4505" t="s">
        <v>529</v>
      </c>
      <c r="U170" s="4194"/>
      <c r="V170" s="3860"/>
      <c r="W170" s="3861"/>
      <c r="X170" s="3861"/>
      <c r="Y170" s="3861"/>
      <c r="Z170" s="3861"/>
      <c r="AA170" s="3861"/>
      <c r="AB170" s="3862"/>
      <c r="AC170" s="3860" t="str">
        <f>INDEX(PT_DIFFERENTIATION_TER,MATCH(B170,PT_DIFFERENTIATION_TER_ID,0))</f>
        <v>Территория 7</v>
      </c>
      <c r="AD170" s="3861"/>
      <c r="AE170" s="3861"/>
      <c r="AF170" s="3861"/>
      <c r="AG170" s="3861"/>
      <c r="AH170" s="3861"/>
      <c r="AI170" s="3861"/>
      <c r="AJ170" s="3860"/>
      <c r="AK170" s="3861"/>
      <c r="AL170" s="3861"/>
      <c r="AM170" s="3861"/>
      <c r="AN170" s="3861"/>
      <c r="AO170" s="3861"/>
      <c r="AP170" s="3862"/>
      <c r="AQ170" s="3860"/>
      <c r="AR170" s="3861"/>
      <c r="AS170" s="3861"/>
      <c r="AT170" s="3861"/>
      <c r="AU170" s="3861"/>
      <c r="AV170" s="3861"/>
      <c r="AW170" s="3862"/>
      <c r="AX170" s="3860"/>
      <c r="AY170" s="3861"/>
      <c r="AZ170" s="3861"/>
      <c r="BA170" s="3861"/>
      <c r="BB170" s="3861"/>
      <c r="BC170" s="3861"/>
      <c r="BD170" s="3862"/>
      <c r="BE170" s="3860"/>
      <c r="BF170" s="3861"/>
      <c r="BG170" s="3861"/>
      <c r="BH170" s="3861"/>
      <c r="BI170" s="3861"/>
      <c r="BJ170" s="3861"/>
      <c r="BK170" s="3862"/>
      <c r="BL170" s="3860"/>
      <c r="BM170" s="3861"/>
      <c r="BN170" s="3861"/>
      <c r="BO170" s="3861"/>
      <c r="BP170" s="3861"/>
      <c r="BQ170" s="3861"/>
      <c r="BR170" s="3862"/>
      <c r="BS170" s="3860"/>
      <c r="BT170" s="3861"/>
      <c r="BU170" s="3861"/>
      <c r="BV170" s="3861"/>
      <c r="BW170" s="3861"/>
      <c r="BX170" s="3861"/>
      <c r="BY170" s="3862"/>
      <c r="BZ170" s="3860"/>
      <c r="CA170" s="3861"/>
      <c r="CB170" s="3861"/>
      <c r="CC170" s="3861"/>
      <c r="CD170" s="3861"/>
      <c r="CE170" s="3861"/>
      <c r="CF170" s="3862"/>
      <c r="CG170" s="3860"/>
      <c r="CH170" s="3861"/>
      <c r="CI170" s="3861"/>
      <c r="CJ170" s="3861"/>
      <c r="CK170" s="3861"/>
      <c r="CL170" s="3861"/>
      <c r="CM170" s="3862"/>
      <c r="CN170" s="3860"/>
      <c r="CO170" s="3861"/>
      <c r="CP170" s="3861"/>
      <c r="CQ170" s="3861"/>
      <c r="CR170" s="3861"/>
      <c r="CS170" s="3861"/>
      <c r="CT170" s="3862"/>
      <c r="CU170" s="3862"/>
      <c r="CV170" s="4287" t="s">
        <v>530</v>
      </c>
      <c r="CW170" s="4093"/>
      <c r="CX170" s="4196"/>
      <c r="CY170" s="4196" t="str">
        <f>IF(T170="","",T170)</f>
        <v>Территория действия тарифа</v>
      </c>
      <c r="CZ170" s="4196"/>
      <c r="DA170" s="4196"/>
      <c r="DB170" s="3858">
        <v>0</v>
      </c>
    </row>
    <row s="7155" customFormat="1" customHeight="1" ht="23.25">
      <c r="A171" s="4183"/>
      <c r="B171" s="4183"/>
      <c r="C171" s="4183" t="s">
        <v>323</v>
      </c>
      <c r="D171" s="4183"/>
      <c r="E171" s="4184"/>
      <c r="F171" s="4184" t="s">
        <v>96</v>
      </c>
      <c r="G171" s="4500">
        <v>1</v>
      </c>
      <c r="H171" s="4183"/>
      <c r="I171" s="4183"/>
      <c r="J171" s="4183"/>
      <c r="K171" s="4183"/>
      <c r="L171" s="4187"/>
      <c r="M171" s="4501"/>
      <c r="N171" s="4501"/>
      <c r="O171" s="4501"/>
      <c r="P171" s="4507"/>
      <c r="Q171" s="4503"/>
      <c r="R171" s="4504"/>
      <c r="S171" s="4192" t="str">
        <f>INDEX(PT_DIFFERENTIATION_NUM_CS,MATCH(C171,PT_DIFFERENTIATION_CS_ID,0))</f>
        <v>1.7.1</v>
      </c>
      <c r="T171" s="4508" t="s">
        <v>610</v>
      </c>
      <c r="U171" s="4194"/>
      <c r="V171" s="3860"/>
      <c r="W171" s="3861"/>
      <c r="X171" s="3861"/>
      <c r="Y171" s="3861"/>
      <c r="Z171" s="3861"/>
      <c r="AA171" s="3861"/>
      <c r="AB171" s="3862"/>
      <c r="AC171" s="3860" t="str">
        <f>INDEX(PT_DIFFERENTIATION_CS,MATCH(C171,PT_DIFFERENTIATION_CS_ID,0))</f>
        <v>без дифференциации</v>
      </c>
      <c r="AD171" s="3861"/>
      <c r="AE171" s="3861"/>
      <c r="AF171" s="3861"/>
      <c r="AG171" s="3861"/>
      <c r="AH171" s="3861"/>
      <c r="AI171" s="3861"/>
      <c r="AJ171" s="3860"/>
      <c r="AK171" s="3861"/>
      <c r="AL171" s="3861"/>
      <c r="AM171" s="3861"/>
      <c r="AN171" s="3861"/>
      <c r="AO171" s="3861"/>
      <c r="AP171" s="3862"/>
      <c r="AQ171" s="3860"/>
      <c r="AR171" s="3861"/>
      <c r="AS171" s="3861"/>
      <c r="AT171" s="3861"/>
      <c r="AU171" s="3861"/>
      <c r="AV171" s="3861"/>
      <c r="AW171" s="3862"/>
      <c r="AX171" s="3860"/>
      <c r="AY171" s="3861"/>
      <c r="AZ171" s="3861"/>
      <c r="BA171" s="3861"/>
      <c r="BB171" s="3861"/>
      <c r="BC171" s="3861"/>
      <c r="BD171" s="3862"/>
      <c r="BE171" s="3860"/>
      <c r="BF171" s="3861"/>
      <c r="BG171" s="3861"/>
      <c r="BH171" s="3861"/>
      <c r="BI171" s="3861"/>
      <c r="BJ171" s="3861"/>
      <c r="BK171" s="3862"/>
      <c r="BL171" s="3860"/>
      <c r="BM171" s="3861"/>
      <c r="BN171" s="3861"/>
      <c r="BO171" s="3861"/>
      <c r="BP171" s="3861"/>
      <c r="BQ171" s="3861"/>
      <c r="BR171" s="3862"/>
      <c r="BS171" s="3860"/>
      <c r="BT171" s="3861"/>
      <c r="BU171" s="3861"/>
      <c r="BV171" s="3861"/>
      <c r="BW171" s="3861"/>
      <c r="BX171" s="3861"/>
      <c r="BY171" s="3862"/>
      <c r="BZ171" s="3860"/>
      <c r="CA171" s="3861"/>
      <c r="CB171" s="3861"/>
      <c r="CC171" s="3861"/>
      <c r="CD171" s="3861"/>
      <c r="CE171" s="3861"/>
      <c r="CF171" s="3862"/>
      <c r="CG171" s="3860"/>
      <c r="CH171" s="3861"/>
      <c r="CI171" s="3861"/>
      <c r="CJ171" s="3861"/>
      <c r="CK171" s="3861"/>
      <c r="CL171" s="3861"/>
      <c r="CM171" s="3862"/>
      <c r="CN171" s="3860"/>
      <c r="CO171" s="3861"/>
      <c r="CP171" s="3861"/>
      <c r="CQ171" s="3861"/>
      <c r="CR171" s="3861"/>
      <c r="CS171" s="3861"/>
      <c r="CT171" s="3862"/>
      <c r="CU171" s="3862"/>
      <c r="CV171" s="4287" t="s">
        <v>611</v>
      </c>
      <c r="CW171" s="4093"/>
      <c r="CX171" s="4196"/>
      <c r="CY171" s="4196" t="str">
        <f>IF(T171="","",T171)</f>
        <v>Наименование централизованной системы холодного водоснабжения</v>
      </c>
      <c r="CZ171" s="4196"/>
      <c r="DA171" s="4196"/>
      <c r="DB171" s="3858">
        <v>0</v>
      </c>
    </row>
    <row s="7156" customFormat="1" customHeight="1" ht="23.25">
      <c r="A172" s="4183"/>
      <c r="B172" s="4183"/>
      <c r="C172" s="4183"/>
      <c r="D172" s="4183"/>
      <c r="E172" s="4184"/>
      <c r="F172" s="4184" t="s">
        <v>96</v>
      </c>
      <c r="G172" s="4184"/>
      <c r="H172" s="4184"/>
      <c r="I172" s="4186" t="str">
        <f>S171&amp;".1"</f>
        <v>1.7.1.1</v>
      </c>
      <c r="J172" s="4183"/>
      <c r="K172" s="4183"/>
      <c r="L172" s="4187"/>
      <c r="M172" s="4188"/>
      <c r="N172" s="4188"/>
      <c r="O172" s="4188"/>
      <c r="P172" s="4189">
        <v>1</v>
      </c>
      <c r="Q172" s="4189"/>
      <c r="R172" s="4205"/>
      <c r="S172" s="4192" t="str">
        <f>$I172</f>
        <v>1.7.1.1</v>
      </c>
      <c r="T172" s="4510" t="s">
        <v>612</v>
      </c>
      <c r="U172" s="4194"/>
      <c r="V172" s="3870"/>
      <c r="W172" s="3871"/>
      <c r="X172" s="3871"/>
      <c r="Y172" s="3871"/>
      <c r="Z172" s="3871"/>
      <c r="AA172" s="3871"/>
      <c r="AB172" s="3872"/>
      <c r="AC172" s="4511"/>
      <c r="AD172" s="4512"/>
      <c r="AE172" s="4512"/>
      <c r="AF172" s="4512"/>
      <c r="AG172" s="4512"/>
      <c r="AH172" s="4512"/>
      <c r="AI172" s="4512"/>
      <c r="AJ172" s="3870"/>
      <c r="AK172" s="3871"/>
      <c r="AL172" s="3871"/>
      <c r="AM172" s="3871"/>
      <c r="AN172" s="3871"/>
      <c r="AO172" s="3871"/>
      <c r="AP172" s="3872"/>
      <c r="AQ172" s="3870"/>
      <c r="AR172" s="3871"/>
      <c r="AS172" s="3871"/>
      <c r="AT172" s="3871"/>
      <c r="AU172" s="3871"/>
      <c r="AV172" s="3871"/>
      <c r="AW172" s="3872"/>
      <c r="AX172" s="3870"/>
      <c r="AY172" s="3871"/>
      <c r="AZ172" s="3871"/>
      <c r="BA172" s="3871"/>
      <c r="BB172" s="3871"/>
      <c r="BC172" s="3871"/>
      <c r="BD172" s="3872"/>
      <c r="BE172" s="3870"/>
      <c r="BF172" s="3871"/>
      <c r="BG172" s="3871"/>
      <c r="BH172" s="3871"/>
      <c r="BI172" s="3871"/>
      <c r="BJ172" s="3871"/>
      <c r="BK172" s="3872"/>
      <c r="BL172" s="3870"/>
      <c r="BM172" s="3871"/>
      <c r="BN172" s="3871"/>
      <c r="BO172" s="3871"/>
      <c r="BP172" s="3871"/>
      <c r="BQ172" s="3871"/>
      <c r="BR172" s="3872"/>
      <c r="BS172" s="3870"/>
      <c r="BT172" s="3871"/>
      <c r="BU172" s="3871"/>
      <c r="BV172" s="3871"/>
      <c r="BW172" s="3871"/>
      <c r="BX172" s="3871"/>
      <c r="BY172" s="3872"/>
      <c r="BZ172" s="3870"/>
      <c r="CA172" s="3871"/>
      <c r="CB172" s="3871"/>
      <c r="CC172" s="3871"/>
      <c r="CD172" s="3871"/>
      <c r="CE172" s="3871"/>
      <c r="CF172" s="3872"/>
      <c r="CG172" s="3870"/>
      <c r="CH172" s="3871"/>
      <c r="CI172" s="3871"/>
      <c r="CJ172" s="3871"/>
      <c r="CK172" s="3871"/>
      <c r="CL172" s="3871"/>
      <c r="CM172" s="3872"/>
      <c r="CN172" s="3870"/>
      <c r="CO172" s="3871"/>
      <c r="CP172" s="3871"/>
      <c r="CQ172" s="3871"/>
      <c r="CR172" s="3871"/>
      <c r="CS172" s="3871"/>
      <c r="CT172" s="3872"/>
      <c r="CU172" s="4513"/>
      <c r="CV172" s="4287" t="s">
        <v>613</v>
      </c>
      <c r="CW172" s="4093"/>
      <c r="CX172" s="4196"/>
      <c r="CY172" s="4196" t="str">
        <f>IF(T172="","",T172)</f>
        <v>Наименование признака дифференциации</v>
      </c>
      <c r="CZ172" s="4196"/>
      <c r="DA172" s="4196"/>
      <c r="DB172" s="3858">
        <v>0</v>
      </c>
    </row>
    <row s="7157" customFormat="1" customHeight="1" ht="23.25">
      <c r="A173" s="4183"/>
      <c r="B173" s="4183"/>
      <c r="C173" s="4183"/>
      <c r="D173" s="4183"/>
      <c r="E173" s="4184"/>
      <c r="F173" s="4184" t="s">
        <v>96</v>
      </c>
      <c r="G173" s="4184"/>
      <c r="H173" s="4184"/>
      <c r="I173" s="4185"/>
      <c r="J173" s="4186" t="str">
        <f>I172&amp;".1"</f>
        <v>1.7.1.1.1</v>
      </c>
      <c r="K173" s="4183"/>
      <c r="L173" s="4187" t="s">
        <v>538</v>
      </c>
      <c r="M173" s="4188"/>
      <c r="N173" s="4188"/>
      <c r="O173" s="4188"/>
      <c r="P173" s="4189"/>
      <c r="Q173" s="4189">
        <v>1</v>
      </c>
      <c r="R173" s="4191"/>
      <c r="S173" s="4192" t="str">
        <f>$J173</f>
        <v>1.7.1.1.1</v>
      </c>
      <c r="T173" s="4193" t="s">
        <v>539</v>
      </c>
      <c r="U173" s="4194"/>
      <c r="V173" s="3874"/>
      <c r="W173" s="3875"/>
      <c r="X173" s="3875"/>
      <c r="Y173" s="3875"/>
      <c r="Z173" s="3875"/>
      <c r="AA173" s="3875"/>
      <c r="AB173" s="3876"/>
      <c r="AC173" s="3874" t="s">
        <v>625</v>
      </c>
      <c r="AD173" s="3875"/>
      <c r="AE173" s="3875"/>
      <c r="AF173" s="3875"/>
      <c r="AG173" s="3875"/>
      <c r="AH173" s="3875"/>
      <c r="AI173" s="3875"/>
      <c r="AJ173" s="3874"/>
      <c r="AK173" s="3875"/>
      <c r="AL173" s="3875"/>
      <c r="AM173" s="3875"/>
      <c r="AN173" s="3875"/>
      <c r="AO173" s="3875"/>
      <c r="AP173" s="3876"/>
      <c r="AQ173" s="3874"/>
      <c r="AR173" s="3875"/>
      <c r="AS173" s="3875"/>
      <c r="AT173" s="3875"/>
      <c r="AU173" s="3875"/>
      <c r="AV173" s="3875"/>
      <c r="AW173" s="3876"/>
      <c r="AX173" s="3874"/>
      <c r="AY173" s="3875"/>
      <c r="AZ173" s="3875"/>
      <c r="BA173" s="3875"/>
      <c r="BB173" s="3875"/>
      <c r="BC173" s="3875"/>
      <c r="BD173" s="3876"/>
      <c r="BE173" s="3874"/>
      <c r="BF173" s="3875"/>
      <c r="BG173" s="3875"/>
      <c r="BH173" s="3875"/>
      <c r="BI173" s="3875"/>
      <c r="BJ173" s="3875"/>
      <c r="BK173" s="3876"/>
      <c r="BL173" s="3874"/>
      <c r="BM173" s="3875"/>
      <c r="BN173" s="3875"/>
      <c r="BO173" s="3875"/>
      <c r="BP173" s="3875"/>
      <c r="BQ173" s="3875"/>
      <c r="BR173" s="3876"/>
      <c r="BS173" s="3874"/>
      <c r="BT173" s="3875"/>
      <c r="BU173" s="3875"/>
      <c r="BV173" s="3875"/>
      <c r="BW173" s="3875"/>
      <c r="BX173" s="3875"/>
      <c r="BY173" s="3876"/>
      <c r="BZ173" s="3874"/>
      <c r="CA173" s="3875"/>
      <c r="CB173" s="3875"/>
      <c r="CC173" s="3875"/>
      <c r="CD173" s="3875"/>
      <c r="CE173" s="3875"/>
      <c r="CF173" s="3876"/>
      <c r="CG173" s="3874"/>
      <c r="CH173" s="3875"/>
      <c r="CI173" s="3875"/>
      <c r="CJ173" s="3875"/>
      <c r="CK173" s="3875"/>
      <c r="CL173" s="3875"/>
      <c r="CM173" s="3876"/>
      <c r="CN173" s="3874"/>
      <c r="CO173" s="3875"/>
      <c r="CP173" s="3875"/>
      <c r="CQ173" s="3875"/>
      <c r="CR173" s="3875"/>
      <c r="CS173" s="3875"/>
      <c r="CT173" s="3876"/>
      <c r="CU173" s="3876"/>
      <c r="CV173" s="4195" t="s">
        <v>614</v>
      </c>
      <c r="CW173" s="4093"/>
      <c r="CX173" s="4196"/>
      <c r="CY173" s="4196" t="str">
        <f>IF(T173="","",T173)</f>
        <v>Группа потребителей</v>
      </c>
      <c r="CZ173" s="4196"/>
      <c r="DA173" s="4196"/>
      <c r="DB173" s="3858">
        <v>0</v>
      </c>
    </row>
    <row s="7158" customFormat="1" customHeight="1" ht="23.25">
      <c r="A174" s="4183"/>
      <c r="B174" s="4183"/>
      <c r="C174" s="4183"/>
      <c r="D174" s="4183"/>
      <c r="E174" s="4184"/>
      <c r="F174" s="4184" t="s">
        <v>96</v>
      </c>
      <c r="G174" s="4184"/>
      <c r="H174" s="4184"/>
      <c r="I174" s="4185"/>
      <c r="J174" s="4185"/>
      <c r="K174" s="4186" t="str">
        <f>J173&amp;".1"</f>
        <v>1.7.1.1.1.1</v>
      </c>
      <c r="L174" s="4187"/>
      <c r="M174" s="4188"/>
      <c r="N174" s="4188"/>
      <c r="O174" s="4188"/>
      <c r="P174" s="4189"/>
      <c r="Q174" s="4189"/>
      <c r="R174" s="4191">
        <v>1</v>
      </c>
      <c r="S174" s="4192" t="str">
        <f>$K174</f>
        <v>1.7.1.1.1.1</v>
      </c>
      <c r="T174" s="4198"/>
      <c r="U174" s="4194"/>
      <c r="V174" s="3878"/>
      <c r="W174" s="3878"/>
      <c r="X174" s="3879"/>
      <c r="Y174" s="3880"/>
      <c r="Z174" s="3881" t="s">
        <v>65</v>
      </c>
      <c r="AA174" s="3880"/>
      <c r="AB174" s="3881" t="s">
        <v>65</v>
      </c>
      <c r="AC174" s="3878">
        <v>36.53</v>
      </c>
      <c r="AD174" s="3878"/>
      <c r="AE174" s="3879"/>
      <c r="AF174" s="3880">
        <v>45292</v>
      </c>
      <c r="AG174" s="3881" t="s">
        <v>65</v>
      </c>
      <c r="AH174" s="4116">
        <v>45473</v>
      </c>
      <c r="AI174" s="3881" t="s">
        <v>65</v>
      </c>
      <c r="AJ174" s="3878">
        <v>41.79</v>
      </c>
      <c r="AK174" s="3878"/>
      <c r="AL174" s="3879"/>
      <c r="AM174" s="3880">
        <v>45474</v>
      </c>
      <c r="AN174" s="3881" t="s">
        <v>65</v>
      </c>
      <c r="AO174" s="3880">
        <v>45657</v>
      </c>
      <c r="AP174" s="3881" t="s">
        <v>65</v>
      </c>
      <c r="AQ174" s="3878">
        <v>41.79</v>
      </c>
      <c r="AR174" s="3878"/>
      <c r="AS174" s="3879"/>
      <c r="AT174" s="3880">
        <v>45658</v>
      </c>
      <c r="AU174" s="3881" t="s">
        <v>65</v>
      </c>
      <c r="AV174" s="3880">
        <v>45838</v>
      </c>
      <c r="AW174" s="3881" t="s">
        <v>65</v>
      </c>
      <c r="AX174" s="3878">
        <v>47.64</v>
      </c>
      <c r="AY174" s="3878"/>
      <c r="AZ174" s="3879"/>
      <c r="BA174" s="3880">
        <v>45839</v>
      </c>
      <c r="BB174" s="3881" t="s">
        <v>65</v>
      </c>
      <c r="BC174" s="3880">
        <v>46022</v>
      </c>
      <c r="BD174" s="3881" t="s">
        <v>65</v>
      </c>
      <c r="BE174" s="3878">
        <v>39.66</v>
      </c>
      <c r="BF174" s="3878"/>
      <c r="BG174" s="3879"/>
      <c r="BH174" s="3880">
        <v>46023</v>
      </c>
      <c r="BI174" s="3881" t="s">
        <v>65</v>
      </c>
      <c r="BJ174" s="3880">
        <v>46203</v>
      </c>
      <c r="BK174" s="3881" t="s">
        <v>65</v>
      </c>
      <c r="BL174" s="3878">
        <v>41.25</v>
      </c>
      <c r="BM174" s="3878"/>
      <c r="BN174" s="3879"/>
      <c r="BO174" s="3880">
        <v>46204</v>
      </c>
      <c r="BP174" s="3881" t="s">
        <v>65</v>
      </c>
      <c r="BQ174" s="3880">
        <v>46387</v>
      </c>
      <c r="BR174" s="3881" t="s">
        <v>65</v>
      </c>
      <c r="BS174" s="3878">
        <v>41.25</v>
      </c>
      <c r="BT174" s="3878"/>
      <c r="BU174" s="3879"/>
      <c r="BV174" s="3880">
        <v>46388</v>
      </c>
      <c r="BW174" s="3881" t="s">
        <v>65</v>
      </c>
      <c r="BX174" s="3880">
        <v>46568</v>
      </c>
      <c r="BY174" s="3881" t="s">
        <v>65</v>
      </c>
      <c r="BZ174" s="3878">
        <v>42.9</v>
      </c>
      <c r="CA174" s="3878"/>
      <c r="CB174" s="3879"/>
      <c r="CC174" s="3880">
        <v>46569</v>
      </c>
      <c r="CD174" s="3881" t="s">
        <v>65</v>
      </c>
      <c r="CE174" s="3880">
        <v>46752</v>
      </c>
      <c r="CF174" s="3881" t="s">
        <v>65</v>
      </c>
      <c r="CG174" s="3878">
        <v>42.9</v>
      </c>
      <c r="CH174" s="3878"/>
      <c r="CI174" s="3879"/>
      <c r="CJ174" s="3880">
        <v>46753</v>
      </c>
      <c r="CK174" s="3881" t="s">
        <v>65</v>
      </c>
      <c r="CL174" s="3880">
        <v>46934</v>
      </c>
      <c r="CM174" s="3881" t="s">
        <v>65</v>
      </c>
      <c r="CN174" s="3878">
        <v>44.62</v>
      </c>
      <c r="CO174" s="3878"/>
      <c r="CP174" s="3879"/>
      <c r="CQ174" s="3880">
        <v>46935</v>
      </c>
      <c r="CR174" s="3881" t="s">
        <v>65</v>
      </c>
      <c r="CS174" s="3880">
        <v>47118</v>
      </c>
      <c r="CT174" s="3881" t="s">
        <v>65</v>
      </c>
      <c r="CU174" s="4199"/>
      <c r="CV17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4" s="4093">
        <f>STRCHECKDATE(V175:CU175)</f>
      </c>
      <c r="CX174" s="4196"/>
      <c r="CY174" s="4196" t="str">
        <f>IF(T174="","",T174)</f>
        <v/>
      </c>
      <c r="CZ174" s="4196"/>
      <c r="DA174" s="4196"/>
      <c r="DB174" s="3858">
        <v>0</v>
      </c>
    </row>
    <row s="7159" customFormat="1" customHeight="1" ht="14.25">
      <c r="A175" s="4183"/>
      <c r="B175" s="4183"/>
      <c r="C175" s="4183"/>
      <c r="D175" s="4183"/>
      <c r="E175" s="4184"/>
      <c r="F175" s="4184" t="s">
        <v>96</v>
      </c>
      <c r="G175" s="4184"/>
      <c r="H175" s="4184"/>
      <c r="I175" s="4185"/>
      <c r="J175" s="4185"/>
      <c r="K175" s="4186"/>
      <c r="L175" s="4187"/>
      <c r="M175" s="4188"/>
      <c r="N175" s="4188"/>
      <c r="O175" s="4188"/>
      <c r="P175" s="4189"/>
      <c r="Q175" s="4189"/>
      <c r="R175" s="4191"/>
      <c r="S175" s="4202"/>
      <c r="T175" s="4194"/>
      <c r="U175" s="4194"/>
      <c r="V175" s="3885"/>
      <c r="W175" s="3885"/>
      <c r="X175" s="3886" t="str">
        <f>Y174&amp;"-"&amp;AA174</f>
        <v>-</v>
      </c>
      <c r="Y175" s="3887"/>
      <c r="Z175" s="3881"/>
      <c r="AA175" s="3887"/>
      <c r="AB175" s="3881"/>
      <c r="AC175" s="3885"/>
      <c r="AD175" s="3885"/>
      <c r="AE175" s="3886" t="str">
        <f>AF174&amp;"-"&amp;AH174</f>
        <v>45292-45473</v>
      </c>
      <c r="AF175" s="3887"/>
      <c r="AG175" s="3881"/>
      <c r="AH175" s="4118"/>
      <c r="AI175" s="3881"/>
      <c r="AJ175" s="3885"/>
      <c r="AK175" s="3885"/>
      <c r="AL175" s="3886" t="str">
        <f>AM174&amp;"-"&amp;AO174</f>
        <v>45474-45657</v>
      </c>
      <c r="AM175" s="3887"/>
      <c r="AN175" s="3881"/>
      <c r="AO175" s="3887"/>
      <c r="AP175" s="3881"/>
      <c r="AQ175" s="3885"/>
      <c r="AR175" s="3885"/>
      <c r="AS175" s="3886" t="str">
        <f>AT174&amp;"-"&amp;AV174</f>
        <v>45658-45838</v>
      </c>
      <c r="AT175" s="3887"/>
      <c r="AU175" s="3881"/>
      <c r="AV175" s="3887"/>
      <c r="AW175" s="3881"/>
      <c r="AX175" s="3885"/>
      <c r="AY175" s="3885"/>
      <c r="AZ175" s="3886" t="str">
        <f>BA174&amp;"-"&amp;BC174</f>
        <v>45839-46022</v>
      </c>
      <c r="BA175" s="3887"/>
      <c r="BB175" s="3881"/>
      <c r="BC175" s="3887"/>
      <c r="BD175" s="3881"/>
      <c r="BE175" s="3885"/>
      <c r="BF175" s="3885"/>
      <c r="BG175" s="3886" t="str">
        <f>BH174&amp;"-"&amp;BJ174</f>
        <v>46023-46203</v>
      </c>
      <c r="BH175" s="3887"/>
      <c r="BI175" s="3881"/>
      <c r="BJ175" s="3887"/>
      <c r="BK175" s="3881"/>
      <c r="BL175" s="3885"/>
      <c r="BM175" s="3885"/>
      <c r="BN175" s="3886" t="str">
        <f>BO174&amp;"-"&amp;BQ174</f>
        <v>46204-46387</v>
      </c>
      <c r="BO175" s="3887"/>
      <c r="BP175" s="3881"/>
      <c r="BQ175" s="3887"/>
      <c r="BR175" s="3881"/>
      <c r="BS175" s="3885"/>
      <c r="BT175" s="3885"/>
      <c r="BU175" s="3886" t="str">
        <f>BV174&amp;"-"&amp;BX174</f>
        <v>46388-46568</v>
      </c>
      <c r="BV175" s="3887"/>
      <c r="BW175" s="3881"/>
      <c r="BX175" s="3887"/>
      <c r="BY175" s="3881"/>
      <c r="BZ175" s="3885"/>
      <c r="CA175" s="3885"/>
      <c r="CB175" s="3886" t="str">
        <f>CC174&amp;"-"&amp;CE174</f>
        <v>46569-46752</v>
      </c>
      <c r="CC175" s="3887"/>
      <c r="CD175" s="3881"/>
      <c r="CE175" s="3887"/>
      <c r="CF175" s="3881"/>
      <c r="CG175" s="3885"/>
      <c r="CH175" s="3885"/>
      <c r="CI175" s="3886" t="str">
        <f>CJ174&amp;"-"&amp;CL174</f>
        <v>46753-46934</v>
      </c>
      <c r="CJ175" s="3887"/>
      <c r="CK175" s="3881"/>
      <c r="CL175" s="3887"/>
      <c r="CM175" s="3881"/>
      <c r="CN175" s="3885"/>
      <c r="CO175" s="3885"/>
      <c r="CP175" s="3886" t="str">
        <f>CQ174&amp;"-"&amp;CS174</f>
        <v>46935-47118</v>
      </c>
      <c r="CQ175" s="3887"/>
      <c r="CR175" s="3881"/>
      <c r="CS175" s="3887"/>
      <c r="CT175" s="3881"/>
      <c r="CU175" s="4203"/>
      <c r="CV175" s="4200"/>
      <c r="CW175" s="4093"/>
      <c r="CX175" s="4196"/>
      <c r="CY175" s="4196" t="str">
        <f>IF(T175="","",T175)</f>
        <v/>
      </c>
      <c r="CZ175" s="4196"/>
      <c r="DA175" s="4196"/>
      <c r="DB175" s="3858">
        <v>0</v>
      </c>
    </row>
    <row s="7160" customFormat="1" customHeight="1" ht="21">
      <c r="A176" s="4183"/>
      <c r="B176" s="4183"/>
      <c r="C176" s="4183"/>
      <c r="D176" s="4183"/>
      <c r="E176" s="4184"/>
      <c r="F176" s="4184" t="s">
        <v>96</v>
      </c>
      <c r="G176" s="4184"/>
      <c r="H176" s="4184"/>
      <c r="I176" s="4185"/>
      <c r="J176" s="4186"/>
      <c r="K176" s="4183"/>
      <c r="L176" s="4187"/>
      <c r="M176" s="4188"/>
      <c r="N176" s="4188"/>
      <c r="O176" s="4188"/>
      <c r="P176" s="4189"/>
      <c r="Q176" s="4189"/>
      <c r="R176" s="4205"/>
      <c r="S176" s="7161"/>
      <c r="T176" s="7162" t="s">
        <v>615</v>
      </c>
      <c r="U176" s="7163"/>
      <c r="V176" s="7164"/>
      <c r="W176" s="7165"/>
      <c r="X176" s="7166"/>
      <c r="Y176" s="7167"/>
      <c r="Z176" s="7168"/>
      <c r="AA176" s="7169"/>
      <c r="AB176" s="7170"/>
      <c r="AC176" s="7171"/>
      <c r="AD176" s="7172"/>
      <c r="AE176" s="7173"/>
      <c r="AF176" s="7174"/>
      <c r="AG176" s="7175"/>
      <c r="AH176" s="7176"/>
      <c r="AI176" s="7177"/>
      <c r="AJ176" s="7178"/>
      <c r="AK176" s="7179"/>
      <c r="AL176" s="7180"/>
      <c r="AM176" s="7181"/>
      <c r="AN176" s="7182"/>
      <c r="AO176" s="7183"/>
      <c r="AP176" s="7184"/>
      <c r="AQ176" s="7185"/>
      <c r="AR176" s="7186"/>
      <c r="AS176" s="7187"/>
      <c r="AT176" s="7188"/>
      <c r="AU176" s="7189"/>
      <c r="AV176" s="7190"/>
      <c r="AW176" s="7191"/>
      <c r="AX176" s="7192"/>
      <c r="AY176" s="7193"/>
      <c r="AZ176" s="7194"/>
      <c r="BA176" s="7195"/>
      <c r="BB176" s="7196"/>
      <c r="BC176" s="7197"/>
      <c r="BD176" s="7198"/>
      <c r="BE176" s="7199"/>
      <c r="BF176" s="7200"/>
      <c r="BG176" s="7201"/>
      <c r="BH176" s="7202"/>
      <c r="BI176" s="7203"/>
      <c r="BJ176" s="7204"/>
      <c r="BK176" s="7205"/>
      <c r="BL176" s="7206"/>
      <c r="BM176" s="7207"/>
      <c r="BN176" s="7208"/>
      <c r="BO176" s="7209"/>
      <c r="BP176" s="7210"/>
      <c r="BQ176" s="7211"/>
      <c r="BR176" s="7212"/>
      <c r="BS176" s="7213"/>
      <c r="BT176" s="7214"/>
      <c r="BU176" s="7215"/>
      <c r="BV176" s="7216"/>
      <c r="BW176" s="7217"/>
      <c r="BX176" s="7218"/>
      <c r="BY176" s="7219"/>
      <c r="BZ176" s="7220"/>
      <c r="CA176" s="7221"/>
      <c r="CB176" s="7222"/>
      <c r="CC176" s="7223"/>
      <c r="CD176" s="7224"/>
      <c r="CE176" s="7225"/>
      <c r="CF176" s="7226"/>
      <c r="CG176" s="7227"/>
      <c r="CH176" s="7228"/>
      <c r="CI176" s="7229"/>
      <c r="CJ176" s="7230"/>
      <c r="CK176" s="7231"/>
      <c r="CL176" s="7232"/>
      <c r="CM176" s="7233"/>
      <c r="CN176" s="7234"/>
      <c r="CO176" s="7235"/>
      <c r="CP176" s="7236"/>
      <c r="CQ176" s="7237"/>
      <c r="CR176" s="7238"/>
      <c r="CS176" s="7239"/>
      <c r="CT176" s="7240"/>
      <c r="CU176" s="7241"/>
      <c r="CV176" s="4287" t="s">
        <v>616</v>
      </c>
      <c r="CW176" s="4093"/>
      <c r="CX176" s="4196"/>
      <c r="CY176" s="4196" t="str">
        <f>IF(T176="","",T176)</f>
        <v>Добавить значение признака дифференциации</v>
      </c>
      <c r="CZ176" s="4196"/>
      <c r="DA176" s="4196"/>
      <c r="DB176" s="3858">
        <v>0</v>
      </c>
    </row>
    <row s="7242" customFormat="1" customHeight="1" ht="23.25">
      <c r="A177" s="4183"/>
      <c r="B177" s="4183"/>
      <c r="C177" s="4183"/>
      <c r="D177" s="4183"/>
      <c r="E177" s="4184"/>
      <c r="F177" s="4184"/>
      <c r="G177" s="4184"/>
      <c r="H177" s="4184"/>
      <c r="I177" s="4185"/>
      <c r="J177" s="4186" t="str">
        <f>I172&amp;".2"</f>
        <v>1.7.1.1.2</v>
      </c>
      <c r="K177" s="4183"/>
      <c r="L177" s="4187" t="s">
        <v>538</v>
      </c>
      <c r="M177" s="4188"/>
      <c r="N177" s="4188"/>
      <c r="O177" s="4188"/>
      <c r="P177" s="4189"/>
      <c r="Q177" s="4190" t="s">
        <v>109</v>
      </c>
      <c r="R177" s="4191"/>
      <c r="S177" s="4192" t="str">
        <f>$J177</f>
        <v>1.7.1.1.2</v>
      </c>
      <c r="T177" s="4193" t="s">
        <v>539</v>
      </c>
      <c r="U177" s="4194"/>
      <c r="V177" s="3874"/>
      <c r="W177" s="3875"/>
      <c r="X177" s="3875"/>
      <c r="Y177" s="3875"/>
      <c r="Z177" s="3875"/>
      <c r="AA177" s="3875"/>
      <c r="AB177" s="3876"/>
      <c r="AC177" s="3874" t="s">
        <v>626</v>
      </c>
      <c r="AD177" s="3875"/>
      <c r="AE177" s="3875"/>
      <c r="AF177" s="3875"/>
      <c r="AG177" s="3875"/>
      <c r="AH177" s="3875"/>
      <c r="AI177" s="3875"/>
      <c r="AJ177" s="3874"/>
      <c r="AK177" s="3875"/>
      <c r="AL177" s="3875"/>
      <c r="AM177" s="3875"/>
      <c r="AN177" s="3875"/>
      <c r="AO177" s="3875"/>
      <c r="AP177" s="3876"/>
      <c r="AQ177" s="3874"/>
      <c r="AR177" s="3875"/>
      <c r="AS177" s="3875"/>
      <c r="AT177" s="3875"/>
      <c r="AU177" s="3875"/>
      <c r="AV177" s="3875"/>
      <c r="AW177" s="3876"/>
      <c r="AX177" s="3874"/>
      <c r="AY177" s="3875"/>
      <c r="AZ177" s="3875"/>
      <c r="BA177" s="3875"/>
      <c r="BB177" s="3875"/>
      <c r="BC177" s="3875"/>
      <c r="BD177" s="3876"/>
      <c r="BE177" s="3874"/>
      <c r="BF177" s="3875"/>
      <c r="BG177" s="3875"/>
      <c r="BH177" s="3875"/>
      <c r="BI177" s="3875"/>
      <c r="BJ177" s="3875"/>
      <c r="BK177" s="3876"/>
      <c r="BL177" s="3874"/>
      <c r="BM177" s="3875"/>
      <c r="BN177" s="3875"/>
      <c r="BO177" s="3875"/>
      <c r="BP177" s="3875"/>
      <c r="BQ177" s="3875"/>
      <c r="BR177" s="3876"/>
      <c r="BS177" s="3874"/>
      <c r="BT177" s="3875"/>
      <c r="BU177" s="3875"/>
      <c r="BV177" s="3875"/>
      <c r="BW177" s="3875"/>
      <c r="BX177" s="3875"/>
      <c r="BY177" s="3876"/>
      <c r="BZ177" s="3874"/>
      <c r="CA177" s="3875"/>
      <c r="CB177" s="3875"/>
      <c r="CC177" s="3875"/>
      <c r="CD177" s="3875"/>
      <c r="CE177" s="3875"/>
      <c r="CF177" s="3876"/>
      <c r="CG177" s="3874"/>
      <c r="CH177" s="3875"/>
      <c r="CI177" s="3875"/>
      <c r="CJ177" s="3875"/>
      <c r="CK177" s="3875"/>
      <c r="CL177" s="3875"/>
      <c r="CM177" s="3876"/>
      <c r="CN177" s="3874"/>
      <c r="CO177" s="3875"/>
      <c r="CP177" s="3875"/>
      <c r="CQ177" s="3875"/>
      <c r="CR177" s="3875"/>
      <c r="CS177" s="3875"/>
      <c r="CT177" s="3876"/>
      <c r="CU177" s="3876"/>
      <c r="CV177" s="4195" t="s">
        <v>614</v>
      </c>
      <c r="CW177" s="4093"/>
      <c r="CX177" s="4196"/>
      <c r="CY177" s="4196" t="str">
        <f>IF(T177="","",T177)</f>
        <v>Группа потребителей</v>
      </c>
      <c r="CZ177" s="4196"/>
      <c r="DA177" s="4196"/>
      <c r="DB177" s="3858">
        <v>0</v>
      </c>
    </row>
    <row s="7243" customFormat="1" customHeight="1" ht="23.25">
      <c r="A178" s="4183"/>
      <c r="B178" s="4183"/>
      <c r="C178" s="4183"/>
      <c r="D178" s="4183"/>
      <c r="E178" s="4184"/>
      <c r="F178" s="4184"/>
      <c r="G178" s="4184"/>
      <c r="H178" s="4184"/>
      <c r="I178" s="4185"/>
      <c r="J178" s="4185" t="str">
        <f>I172&amp;".1"</f>
        <v>1.7.1.1.1</v>
      </c>
      <c r="K178" s="4186" t="str">
        <f>J177&amp;".1"</f>
        <v>1.7.1.1.2.1</v>
      </c>
      <c r="L178" s="4187"/>
      <c r="M178" s="4188"/>
      <c r="N178" s="4188"/>
      <c r="O178" s="4188"/>
      <c r="P178" s="4189"/>
      <c r="Q178" s="4189"/>
      <c r="R178" s="4191">
        <v>1</v>
      </c>
      <c r="S178" s="4192" t="str">
        <f>$K178</f>
        <v>1.7.1.1.2.1</v>
      </c>
      <c r="T178" s="4198"/>
      <c r="U178" s="4194"/>
      <c r="V178" s="3878"/>
      <c r="W178" s="3878"/>
      <c r="X178" s="3879"/>
      <c r="Y178" s="3880"/>
      <c r="Z178" s="3881" t="s">
        <v>65</v>
      </c>
      <c r="AA178" s="3880"/>
      <c r="AB178" s="3881" t="s">
        <v>65</v>
      </c>
      <c r="AC178" s="3878">
        <v>36.98</v>
      </c>
      <c r="AD178" s="3878"/>
      <c r="AE178" s="3879"/>
      <c r="AF178" s="3880">
        <v>45292</v>
      </c>
      <c r="AG178" s="3881" t="s">
        <v>65</v>
      </c>
      <c r="AH178" s="4116">
        <v>45473</v>
      </c>
      <c r="AI178" s="3881" t="s">
        <v>65</v>
      </c>
      <c r="AJ178" s="3878">
        <v>45.28</v>
      </c>
      <c r="AK178" s="3878"/>
      <c r="AL178" s="3879"/>
      <c r="AM178" s="3880">
        <v>45474</v>
      </c>
      <c r="AN178" s="3881" t="s">
        <v>65</v>
      </c>
      <c r="AO178" s="3880">
        <v>45657</v>
      </c>
      <c r="AP178" s="3881" t="s">
        <v>65</v>
      </c>
      <c r="AQ178" s="3878">
        <v>45.28</v>
      </c>
      <c r="AR178" s="3878"/>
      <c r="AS178" s="3879"/>
      <c r="AT178" s="3880">
        <v>45658</v>
      </c>
      <c r="AU178" s="3881" t="s">
        <v>65</v>
      </c>
      <c r="AV178" s="3880">
        <v>45838</v>
      </c>
      <c r="AW178" s="3881" t="s">
        <v>65</v>
      </c>
      <c r="AX178" s="3878">
        <v>47.23</v>
      </c>
      <c r="AY178" s="3878"/>
      <c r="AZ178" s="3879"/>
      <c r="BA178" s="3880">
        <v>45839</v>
      </c>
      <c r="BB178" s="3881" t="s">
        <v>65</v>
      </c>
      <c r="BC178" s="3880">
        <v>46022</v>
      </c>
      <c r="BD178" s="3881" t="s">
        <v>65</v>
      </c>
      <c r="BE178" s="3878">
        <v>39.66</v>
      </c>
      <c r="BF178" s="3878"/>
      <c r="BG178" s="3879"/>
      <c r="BH178" s="3880">
        <v>46023</v>
      </c>
      <c r="BI178" s="3881" t="s">
        <v>65</v>
      </c>
      <c r="BJ178" s="3880">
        <v>46203</v>
      </c>
      <c r="BK178" s="3881" t="s">
        <v>65</v>
      </c>
      <c r="BL178" s="3878">
        <v>46</v>
      </c>
      <c r="BM178" s="3878"/>
      <c r="BN178" s="3879"/>
      <c r="BO178" s="3880">
        <v>46204</v>
      </c>
      <c r="BP178" s="3881" t="s">
        <v>65</v>
      </c>
      <c r="BQ178" s="3880">
        <v>46387</v>
      </c>
      <c r="BR178" s="3881" t="s">
        <v>65</v>
      </c>
      <c r="BS178" s="3878">
        <v>46</v>
      </c>
      <c r="BT178" s="3878"/>
      <c r="BU178" s="3879"/>
      <c r="BV178" s="3880">
        <v>46388</v>
      </c>
      <c r="BW178" s="3881" t="s">
        <v>65</v>
      </c>
      <c r="BX178" s="3880">
        <v>46568</v>
      </c>
      <c r="BY178" s="3881" t="s">
        <v>65</v>
      </c>
      <c r="BZ178" s="3878">
        <v>50.94</v>
      </c>
      <c r="CA178" s="3878"/>
      <c r="CB178" s="3879"/>
      <c r="CC178" s="3880">
        <v>46569</v>
      </c>
      <c r="CD178" s="3881" t="s">
        <v>65</v>
      </c>
      <c r="CE178" s="3880">
        <v>46752</v>
      </c>
      <c r="CF178" s="3881" t="s">
        <v>65</v>
      </c>
      <c r="CG178" s="3878">
        <v>50.94</v>
      </c>
      <c r="CH178" s="3878"/>
      <c r="CI178" s="3879"/>
      <c r="CJ178" s="3880">
        <v>46753</v>
      </c>
      <c r="CK178" s="3881" t="s">
        <v>65</v>
      </c>
      <c r="CL178" s="3880">
        <v>46934</v>
      </c>
      <c r="CM178" s="3881" t="s">
        <v>65</v>
      </c>
      <c r="CN178" s="3878">
        <v>60.03</v>
      </c>
      <c r="CO178" s="3878"/>
      <c r="CP178" s="3879"/>
      <c r="CQ178" s="3880">
        <v>46935</v>
      </c>
      <c r="CR178" s="3881" t="s">
        <v>65</v>
      </c>
      <c r="CS178" s="3880">
        <v>47118</v>
      </c>
      <c r="CT178" s="3881" t="s">
        <v>65</v>
      </c>
      <c r="CU178" s="4199"/>
      <c r="CV17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78" s="4093">
        <f>STRCHECKDATE(V179:CU179)</f>
      </c>
      <c r="CX178" s="4196"/>
      <c r="CY178" s="4196" t="str">
        <f>IF(T178="","",T178)</f>
        <v/>
      </c>
      <c r="CZ178" s="4196"/>
      <c r="DA178" s="4196"/>
      <c r="DB178" s="3858">
        <v>0</v>
      </c>
    </row>
    <row s="7244" customFormat="1" customHeight="1" ht="14.25">
      <c r="A179" s="4183"/>
      <c r="B179" s="4183"/>
      <c r="C179" s="4183"/>
      <c r="D179" s="4183"/>
      <c r="E179" s="4184"/>
      <c r="F179" s="4184"/>
      <c r="G179" s="4184"/>
      <c r="H179" s="4184"/>
      <c r="I179" s="4185"/>
      <c r="J179" s="4185" t="str">
        <f>I172&amp;".1"</f>
        <v>1.7.1.1.1</v>
      </c>
      <c r="K179" s="4186"/>
      <c r="L179" s="4187"/>
      <c r="M179" s="4188"/>
      <c r="N179" s="4188"/>
      <c r="O179" s="4188"/>
      <c r="P179" s="4189"/>
      <c r="Q179" s="4189"/>
      <c r="R179" s="4191"/>
      <c r="S179" s="4202"/>
      <c r="T179" s="4194"/>
      <c r="U179" s="4194"/>
      <c r="V179" s="3885"/>
      <c r="W179" s="3885"/>
      <c r="X179" s="3886" t="str">
        <f>Y178&amp;"-"&amp;AA178</f>
        <v>-</v>
      </c>
      <c r="Y179" s="3887"/>
      <c r="Z179" s="3881"/>
      <c r="AA179" s="3887"/>
      <c r="AB179" s="3881"/>
      <c r="AC179" s="3885"/>
      <c r="AD179" s="3885"/>
      <c r="AE179" s="3886" t="str">
        <f>AF178&amp;"-"&amp;AH178</f>
        <v>45292-45473</v>
      </c>
      <c r="AF179" s="3887"/>
      <c r="AG179" s="3881"/>
      <c r="AH179" s="4118"/>
      <c r="AI179" s="3881"/>
      <c r="AJ179" s="3885"/>
      <c r="AK179" s="3885"/>
      <c r="AL179" s="3886" t="str">
        <f>AM178&amp;"-"&amp;AO178</f>
        <v>45474-45657</v>
      </c>
      <c r="AM179" s="3887"/>
      <c r="AN179" s="3881"/>
      <c r="AO179" s="3887"/>
      <c r="AP179" s="3881"/>
      <c r="AQ179" s="3885"/>
      <c r="AR179" s="3885"/>
      <c r="AS179" s="3886" t="str">
        <f>AT178&amp;"-"&amp;AV178</f>
        <v>45658-45838</v>
      </c>
      <c r="AT179" s="3887"/>
      <c r="AU179" s="3881"/>
      <c r="AV179" s="3887"/>
      <c r="AW179" s="3881"/>
      <c r="AX179" s="3885"/>
      <c r="AY179" s="3885"/>
      <c r="AZ179" s="3886" t="str">
        <f>BA178&amp;"-"&amp;BC178</f>
        <v>45839-46022</v>
      </c>
      <c r="BA179" s="3887"/>
      <c r="BB179" s="3881"/>
      <c r="BC179" s="3887"/>
      <c r="BD179" s="3881"/>
      <c r="BE179" s="3885"/>
      <c r="BF179" s="3885"/>
      <c r="BG179" s="3886" t="str">
        <f>BH178&amp;"-"&amp;BJ178</f>
        <v>46023-46203</v>
      </c>
      <c r="BH179" s="3887"/>
      <c r="BI179" s="3881"/>
      <c r="BJ179" s="3887"/>
      <c r="BK179" s="3881"/>
      <c r="BL179" s="3885"/>
      <c r="BM179" s="3885"/>
      <c r="BN179" s="3886" t="str">
        <f>BO178&amp;"-"&amp;BQ178</f>
        <v>46204-46387</v>
      </c>
      <c r="BO179" s="3887"/>
      <c r="BP179" s="3881"/>
      <c r="BQ179" s="3887"/>
      <c r="BR179" s="3881"/>
      <c r="BS179" s="3885"/>
      <c r="BT179" s="3885"/>
      <c r="BU179" s="3886" t="str">
        <f>BV178&amp;"-"&amp;BX178</f>
        <v>46388-46568</v>
      </c>
      <c r="BV179" s="3887"/>
      <c r="BW179" s="3881"/>
      <c r="BX179" s="3887"/>
      <c r="BY179" s="3881"/>
      <c r="BZ179" s="3885"/>
      <c r="CA179" s="3885"/>
      <c r="CB179" s="3886" t="str">
        <f>CC178&amp;"-"&amp;CE178</f>
        <v>46569-46752</v>
      </c>
      <c r="CC179" s="3887"/>
      <c r="CD179" s="3881"/>
      <c r="CE179" s="3887"/>
      <c r="CF179" s="3881"/>
      <c r="CG179" s="3885"/>
      <c r="CH179" s="3885"/>
      <c r="CI179" s="3886" t="str">
        <f>CJ178&amp;"-"&amp;CL178</f>
        <v>46753-46934</v>
      </c>
      <c r="CJ179" s="3887"/>
      <c r="CK179" s="3881"/>
      <c r="CL179" s="3887"/>
      <c r="CM179" s="3881"/>
      <c r="CN179" s="3885"/>
      <c r="CO179" s="3885"/>
      <c r="CP179" s="3886" t="str">
        <f>CQ178&amp;"-"&amp;CS178</f>
        <v>46935-47118</v>
      </c>
      <c r="CQ179" s="3887"/>
      <c r="CR179" s="3881"/>
      <c r="CS179" s="3887"/>
      <c r="CT179" s="3881"/>
      <c r="CU179" s="4203"/>
      <c r="CV179" s="4200"/>
      <c r="CW179" s="4093"/>
      <c r="CX179" s="4196"/>
      <c r="CY179" s="4196" t="str">
        <f>IF(T179="","",T179)</f>
        <v/>
      </c>
      <c r="CZ179" s="4196"/>
      <c r="DA179" s="4196"/>
      <c r="DB179" s="3858">
        <v>0</v>
      </c>
    </row>
    <row s="7245" customFormat="1" customHeight="1" ht="21">
      <c r="A180" s="4183"/>
      <c r="B180" s="4183"/>
      <c r="C180" s="4183"/>
      <c r="D180" s="4183"/>
      <c r="E180" s="4184"/>
      <c r="F180" s="4184"/>
      <c r="G180" s="4184"/>
      <c r="H180" s="4184"/>
      <c r="I180" s="4185"/>
      <c r="J180" s="4186" t="str">
        <f>I172&amp;".1"</f>
        <v>1.7.1.1.1</v>
      </c>
      <c r="K180" s="4183"/>
      <c r="L180" s="4187"/>
      <c r="M180" s="4188"/>
      <c r="N180" s="4188"/>
      <c r="O180" s="4188"/>
      <c r="P180" s="4189"/>
      <c r="Q180" s="4189"/>
      <c r="R180" s="4205"/>
      <c r="S180" s="7246"/>
      <c r="T180" s="7247" t="s">
        <v>615</v>
      </c>
      <c r="U180" s="7248"/>
      <c r="V180" s="7249"/>
      <c r="W180" s="7250"/>
      <c r="X180" s="7251"/>
      <c r="Y180" s="7252"/>
      <c r="Z180" s="7253"/>
      <c r="AA180" s="7254"/>
      <c r="AB180" s="7255"/>
      <c r="AC180" s="7256"/>
      <c r="AD180" s="7257"/>
      <c r="AE180" s="7258"/>
      <c r="AF180" s="7259"/>
      <c r="AG180" s="7260"/>
      <c r="AH180" s="7261"/>
      <c r="AI180" s="7262"/>
      <c r="AJ180" s="7263"/>
      <c r="AK180" s="7264"/>
      <c r="AL180" s="7265"/>
      <c r="AM180" s="7266"/>
      <c r="AN180" s="7267"/>
      <c r="AO180" s="7268"/>
      <c r="AP180" s="7269"/>
      <c r="AQ180" s="7270"/>
      <c r="AR180" s="7271"/>
      <c r="AS180" s="7272"/>
      <c r="AT180" s="7273"/>
      <c r="AU180" s="7274"/>
      <c r="AV180" s="7275"/>
      <c r="AW180" s="7276"/>
      <c r="AX180" s="7277"/>
      <c r="AY180" s="7278"/>
      <c r="AZ180" s="7279"/>
      <c r="BA180" s="7280"/>
      <c r="BB180" s="7281"/>
      <c r="BC180" s="7282"/>
      <c r="BD180" s="7283"/>
      <c r="BE180" s="7284"/>
      <c r="BF180" s="7285"/>
      <c r="BG180" s="7286"/>
      <c r="BH180" s="7287"/>
      <c r="BI180" s="7288"/>
      <c r="BJ180" s="7289"/>
      <c r="BK180" s="7290"/>
      <c r="BL180" s="7291"/>
      <c r="BM180" s="7292"/>
      <c r="BN180" s="7293"/>
      <c r="BO180" s="7294"/>
      <c r="BP180" s="7295"/>
      <c r="BQ180" s="7296"/>
      <c r="BR180" s="7297"/>
      <c r="BS180" s="7298"/>
      <c r="BT180" s="7299"/>
      <c r="BU180" s="7300"/>
      <c r="BV180" s="7301"/>
      <c r="BW180" s="7302"/>
      <c r="BX180" s="7303"/>
      <c r="BY180" s="7304"/>
      <c r="BZ180" s="7305"/>
      <c r="CA180" s="7306"/>
      <c r="CB180" s="7307"/>
      <c r="CC180" s="7308"/>
      <c r="CD180" s="7309"/>
      <c r="CE180" s="7310"/>
      <c r="CF180" s="7311"/>
      <c r="CG180" s="7312"/>
      <c r="CH180" s="7313"/>
      <c r="CI180" s="7314"/>
      <c r="CJ180" s="7315"/>
      <c r="CK180" s="7316"/>
      <c r="CL180" s="7317"/>
      <c r="CM180" s="7318"/>
      <c r="CN180" s="7319"/>
      <c r="CO180" s="7320"/>
      <c r="CP180" s="7321"/>
      <c r="CQ180" s="7322"/>
      <c r="CR180" s="7323"/>
      <c r="CS180" s="7324"/>
      <c r="CT180" s="7325"/>
      <c r="CU180" s="7326"/>
      <c r="CV180" s="4287" t="s">
        <v>616</v>
      </c>
      <c r="CW180" s="4093"/>
      <c r="CX180" s="4196"/>
      <c r="CY180" s="4196" t="str">
        <f>IF(T180="","",T180)</f>
        <v>Добавить значение признака дифференциации</v>
      </c>
      <c r="CZ180" s="4196"/>
      <c r="DA180" s="4196"/>
      <c r="DB180" s="3858">
        <v>0</v>
      </c>
    </row>
    <row s="7327" customFormat="1" customHeight="1" ht="23.25">
      <c r="A181" s="4183"/>
      <c r="B181" s="4183"/>
      <c r="C181" s="4183"/>
      <c r="D181" s="4183"/>
      <c r="E181" s="4184"/>
      <c r="F181" s="4184"/>
      <c r="G181" s="4184"/>
      <c r="H181" s="4184"/>
      <c r="I181" s="4185"/>
      <c r="J181" s="4186" t="str">
        <f>I172&amp;".3"</f>
        <v>1.7.1.1.3</v>
      </c>
      <c r="K181" s="4183"/>
      <c r="L181" s="4187" t="s">
        <v>538</v>
      </c>
      <c r="M181" s="4188"/>
      <c r="N181" s="4188"/>
      <c r="O181" s="4188"/>
      <c r="P181" s="4189"/>
      <c r="Q181" s="4190" t="s">
        <v>109</v>
      </c>
      <c r="R181" s="4191"/>
      <c r="S181" s="4192" t="str">
        <f>$J181</f>
        <v>1.7.1.1.3</v>
      </c>
      <c r="T181" s="4193" t="s">
        <v>539</v>
      </c>
      <c r="U181" s="4194"/>
      <c r="V181" s="3874"/>
      <c r="W181" s="3875"/>
      <c r="X181" s="3875"/>
      <c r="Y181" s="3875"/>
      <c r="Z181" s="3875"/>
      <c r="AA181" s="3875"/>
      <c r="AB181" s="3876"/>
      <c r="AC181" s="3874" t="s">
        <v>627</v>
      </c>
      <c r="AD181" s="3875"/>
      <c r="AE181" s="3875"/>
      <c r="AF181" s="3875"/>
      <c r="AG181" s="3875"/>
      <c r="AH181" s="3875"/>
      <c r="AI181" s="3875"/>
      <c r="AJ181" s="3874"/>
      <c r="AK181" s="3875"/>
      <c r="AL181" s="3875"/>
      <c r="AM181" s="3875"/>
      <c r="AN181" s="3875"/>
      <c r="AO181" s="3875"/>
      <c r="AP181" s="3876"/>
      <c r="AQ181" s="3874"/>
      <c r="AR181" s="3875"/>
      <c r="AS181" s="3875"/>
      <c r="AT181" s="3875"/>
      <c r="AU181" s="3875"/>
      <c r="AV181" s="3875"/>
      <c r="AW181" s="3876"/>
      <c r="AX181" s="3874"/>
      <c r="AY181" s="3875"/>
      <c r="AZ181" s="3875"/>
      <c r="BA181" s="3875"/>
      <c r="BB181" s="3875"/>
      <c r="BC181" s="3875"/>
      <c r="BD181" s="3876"/>
      <c r="BE181" s="3874"/>
      <c r="BF181" s="3875"/>
      <c r="BG181" s="3875"/>
      <c r="BH181" s="3875"/>
      <c r="BI181" s="3875"/>
      <c r="BJ181" s="3875"/>
      <c r="BK181" s="3876"/>
      <c r="BL181" s="3874"/>
      <c r="BM181" s="3875"/>
      <c r="BN181" s="3875"/>
      <c r="BO181" s="3875"/>
      <c r="BP181" s="3875"/>
      <c r="BQ181" s="3875"/>
      <c r="BR181" s="3876"/>
      <c r="BS181" s="3874"/>
      <c r="BT181" s="3875"/>
      <c r="BU181" s="3875"/>
      <c r="BV181" s="3875"/>
      <c r="BW181" s="3875"/>
      <c r="BX181" s="3875"/>
      <c r="BY181" s="3876"/>
      <c r="BZ181" s="3874"/>
      <c r="CA181" s="3875"/>
      <c r="CB181" s="3875"/>
      <c r="CC181" s="3875"/>
      <c r="CD181" s="3875"/>
      <c r="CE181" s="3875"/>
      <c r="CF181" s="3876"/>
      <c r="CG181" s="3874"/>
      <c r="CH181" s="3875"/>
      <c r="CI181" s="3875"/>
      <c r="CJ181" s="3875"/>
      <c r="CK181" s="3875"/>
      <c r="CL181" s="3875"/>
      <c r="CM181" s="3876"/>
      <c r="CN181" s="3874"/>
      <c r="CO181" s="3875"/>
      <c r="CP181" s="3875"/>
      <c r="CQ181" s="3875"/>
      <c r="CR181" s="3875"/>
      <c r="CS181" s="3875"/>
      <c r="CT181" s="3876"/>
      <c r="CU181" s="3876"/>
      <c r="CV181" s="4195" t="s">
        <v>614</v>
      </c>
      <c r="CW181" s="4093"/>
      <c r="CX181" s="4196"/>
      <c r="CY181" s="4196" t="str">
        <f>IF(T181="","",T181)</f>
        <v>Группа потребителей</v>
      </c>
      <c r="CZ181" s="4196"/>
      <c r="DA181" s="4196"/>
      <c r="DB181" s="3858">
        <v>0</v>
      </c>
    </row>
    <row s="7328" customFormat="1" customHeight="1" ht="23.25">
      <c r="A182" s="4183"/>
      <c r="B182" s="4183"/>
      <c r="C182" s="4183"/>
      <c r="D182" s="4183"/>
      <c r="E182" s="4184"/>
      <c r="F182" s="4184"/>
      <c r="G182" s="4184"/>
      <c r="H182" s="4184"/>
      <c r="I182" s="4185"/>
      <c r="J182" s="4185" t="str">
        <f>I172&amp;".2"</f>
        <v>1.7.1.1.2</v>
      </c>
      <c r="K182" s="4186" t="str">
        <f>J181&amp;".1"</f>
        <v>1.7.1.1.3.1</v>
      </c>
      <c r="L182" s="4187"/>
      <c r="M182" s="4188"/>
      <c r="N182" s="4188"/>
      <c r="O182" s="4188"/>
      <c r="P182" s="4189"/>
      <c r="Q182" s="4189"/>
      <c r="R182" s="4191">
        <v>1</v>
      </c>
      <c r="S182" s="4192" t="str">
        <f>$K182</f>
        <v>1.7.1.1.3.1</v>
      </c>
      <c r="T182" s="4198"/>
      <c r="U182" s="4194"/>
      <c r="V182" s="3878"/>
      <c r="W182" s="3878"/>
      <c r="X182" s="3879"/>
      <c r="Y182" s="3880"/>
      <c r="Z182" s="3881" t="s">
        <v>65</v>
      </c>
      <c r="AA182" s="3880"/>
      <c r="AB182" s="3881" t="s">
        <v>65</v>
      </c>
      <c r="AC182" s="3878">
        <v>36.98</v>
      </c>
      <c r="AD182" s="3878"/>
      <c r="AE182" s="3879"/>
      <c r="AF182" s="3880">
        <v>45292</v>
      </c>
      <c r="AG182" s="3881" t="s">
        <v>65</v>
      </c>
      <c r="AH182" s="4116">
        <v>45473</v>
      </c>
      <c r="AI182" s="3881" t="s">
        <v>65</v>
      </c>
      <c r="AJ182" s="3878">
        <v>45.28</v>
      </c>
      <c r="AK182" s="3878"/>
      <c r="AL182" s="3879"/>
      <c r="AM182" s="3880">
        <v>45474</v>
      </c>
      <c r="AN182" s="3881" t="s">
        <v>65</v>
      </c>
      <c r="AO182" s="3880">
        <v>45657</v>
      </c>
      <c r="AP182" s="3881" t="s">
        <v>65</v>
      </c>
      <c r="AQ182" s="3878">
        <v>45.28</v>
      </c>
      <c r="AR182" s="3878"/>
      <c r="AS182" s="3879"/>
      <c r="AT182" s="3880">
        <v>45658</v>
      </c>
      <c r="AU182" s="3881" t="s">
        <v>65</v>
      </c>
      <c r="AV182" s="3880">
        <v>45838</v>
      </c>
      <c r="AW182" s="3881" t="s">
        <v>65</v>
      </c>
      <c r="AX182" s="3878">
        <v>47.23</v>
      </c>
      <c r="AY182" s="3878"/>
      <c r="AZ182" s="3879"/>
      <c r="BA182" s="3880">
        <v>45839</v>
      </c>
      <c r="BB182" s="3881" t="s">
        <v>65</v>
      </c>
      <c r="BC182" s="3880">
        <v>46022</v>
      </c>
      <c r="BD182" s="3881" t="s">
        <v>65</v>
      </c>
      <c r="BE182" s="3878">
        <v>39.66</v>
      </c>
      <c r="BF182" s="3878"/>
      <c r="BG182" s="3879"/>
      <c r="BH182" s="3880">
        <v>46023</v>
      </c>
      <c r="BI182" s="3881" t="s">
        <v>65</v>
      </c>
      <c r="BJ182" s="3880">
        <v>46203</v>
      </c>
      <c r="BK182" s="3881" t="s">
        <v>65</v>
      </c>
      <c r="BL182" s="3878">
        <v>46</v>
      </c>
      <c r="BM182" s="3878"/>
      <c r="BN182" s="3879"/>
      <c r="BO182" s="3880">
        <v>46204</v>
      </c>
      <c r="BP182" s="3881" t="s">
        <v>65</v>
      </c>
      <c r="BQ182" s="3880">
        <v>46387</v>
      </c>
      <c r="BR182" s="3881" t="s">
        <v>65</v>
      </c>
      <c r="BS182" s="3878">
        <v>46</v>
      </c>
      <c r="BT182" s="3878"/>
      <c r="BU182" s="3879"/>
      <c r="BV182" s="3880">
        <v>46388</v>
      </c>
      <c r="BW182" s="3881" t="s">
        <v>65</v>
      </c>
      <c r="BX182" s="3880">
        <v>46568</v>
      </c>
      <c r="BY182" s="3881" t="s">
        <v>65</v>
      </c>
      <c r="BZ182" s="3878">
        <v>50.94</v>
      </c>
      <c r="CA182" s="3878"/>
      <c r="CB182" s="3879"/>
      <c r="CC182" s="3880">
        <v>46569</v>
      </c>
      <c r="CD182" s="3881" t="s">
        <v>65</v>
      </c>
      <c r="CE182" s="3880">
        <v>46752</v>
      </c>
      <c r="CF182" s="3881" t="s">
        <v>65</v>
      </c>
      <c r="CG182" s="3878">
        <v>50.94</v>
      </c>
      <c r="CH182" s="3878"/>
      <c r="CI182" s="3879"/>
      <c r="CJ182" s="3880">
        <v>46753</v>
      </c>
      <c r="CK182" s="3881" t="s">
        <v>65</v>
      </c>
      <c r="CL182" s="3880">
        <v>46934</v>
      </c>
      <c r="CM182" s="3881" t="s">
        <v>65</v>
      </c>
      <c r="CN182" s="3878">
        <v>60.03</v>
      </c>
      <c r="CO182" s="3878"/>
      <c r="CP182" s="3879"/>
      <c r="CQ182" s="3880">
        <v>46935</v>
      </c>
      <c r="CR182" s="3881" t="s">
        <v>65</v>
      </c>
      <c r="CS182" s="3880">
        <v>47118</v>
      </c>
      <c r="CT182" s="3881" t="s">
        <v>65</v>
      </c>
      <c r="CU182" s="4199"/>
      <c r="CV18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82" s="4093">
        <f>STRCHECKDATE(V183:CU183)</f>
      </c>
      <c r="CX182" s="4196"/>
      <c r="CY182" s="4196" t="str">
        <f>IF(T182="","",T182)</f>
        <v/>
      </c>
      <c r="CZ182" s="4196"/>
      <c r="DA182" s="4196"/>
      <c r="DB182" s="3858">
        <v>0</v>
      </c>
    </row>
    <row s="7329" customFormat="1" customHeight="1" ht="14.25">
      <c r="A183" s="4183"/>
      <c r="B183" s="4183"/>
      <c r="C183" s="4183"/>
      <c r="D183" s="4183"/>
      <c r="E183" s="4184"/>
      <c r="F183" s="4184"/>
      <c r="G183" s="4184"/>
      <c r="H183" s="4184"/>
      <c r="I183" s="4185"/>
      <c r="J183" s="4185" t="str">
        <f>I172&amp;".2"</f>
        <v>1.7.1.1.2</v>
      </c>
      <c r="K183" s="4186"/>
      <c r="L183" s="4187"/>
      <c r="M183" s="4188"/>
      <c r="N183" s="4188"/>
      <c r="O183" s="4188"/>
      <c r="P183" s="4189"/>
      <c r="Q183" s="4189"/>
      <c r="R183" s="4191"/>
      <c r="S183" s="4202"/>
      <c r="T183" s="4194"/>
      <c r="U183" s="4194"/>
      <c r="V183" s="3885"/>
      <c r="W183" s="3885"/>
      <c r="X183" s="3886" t="str">
        <f>Y182&amp;"-"&amp;AA182</f>
        <v>-</v>
      </c>
      <c r="Y183" s="3887"/>
      <c r="Z183" s="3881"/>
      <c r="AA183" s="3887"/>
      <c r="AB183" s="3881"/>
      <c r="AC183" s="3885"/>
      <c r="AD183" s="3885"/>
      <c r="AE183" s="3886" t="str">
        <f>AF182&amp;"-"&amp;AH182</f>
        <v>45292-45473</v>
      </c>
      <c r="AF183" s="3887"/>
      <c r="AG183" s="3881"/>
      <c r="AH183" s="4118"/>
      <c r="AI183" s="3881"/>
      <c r="AJ183" s="3885"/>
      <c r="AK183" s="3885"/>
      <c r="AL183" s="3886" t="str">
        <f>AM182&amp;"-"&amp;AO182</f>
        <v>45474-45657</v>
      </c>
      <c r="AM183" s="3887"/>
      <c r="AN183" s="3881"/>
      <c r="AO183" s="3887"/>
      <c r="AP183" s="3881"/>
      <c r="AQ183" s="3885"/>
      <c r="AR183" s="3885"/>
      <c r="AS183" s="3886" t="str">
        <f>AT182&amp;"-"&amp;AV182</f>
        <v>45658-45838</v>
      </c>
      <c r="AT183" s="3887"/>
      <c r="AU183" s="3881"/>
      <c r="AV183" s="3887"/>
      <c r="AW183" s="3881"/>
      <c r="AX183" s="3885"/>
      <c r="AY183" s="3885"/>
      <c r="AZ183" s="3886" t="str">
        <f>BA182&amp;"-"&amp;BC182</f>
        <v>45839-46022</v>
      </c>
      <c r="BA183" s="3887"/>
      <c r="BB183" s="3881"/>
      <c r="BC183" s="3887"/>
      <c r="BD183" s="3881"/>
      <c r="BE183" s="3885"/>
      <c r="BF183" s="3885"/>
      <c r="BG183" s="3886" t="str">
        <f>BH182&amp;"-"&amp;BJ182</f>
        <v>46023-46203</v>
      </c>
      <c r="BH183" s="3887"/>
      <c r="BI183" s="3881"/>
      <c r="BJ183" s="3887"/>
      <c r="BK183" s="3881"/>
      <c r="BL183" s="3885"/>
      <c r="BM183" s="3885"/>
      <c r="BN183" s="3886" t="str">
        <f>BO182&amp;"-"&amp;BQ182</f>
        <v>46204-46387</v>
      </c>
      <c r="BO183" s="3887"/>
      <c r="BP183" s="3881"/>
      <c r="BQ183" s="3887"/>
      <c r="BR183" s="3881"/>
      <c r="BS183" s="3885"/>
      <c r="BT183" s="3885"/>
      <c r="BU183" s="3886" t="str">
        <f>BV182&amp;"-"&amp;BX182</f>
        <v>46388-46568</v>
      </c>
      <c r="BV183" s="3887"/>
      <c r="BW183" s="3881"/>
      <c r="BX183" s="3887"/>
      <c r="BY183" s="3881"/>
      <c r="BZ183" s="3885"/>
      <c r="CA183" s="3885"/>
      <c r="CB183" s="3886" t="str">
        <f>CC182&amp;"-"&amp;CE182</f>
        <v>46569-46752</v>
      </c>
      <c r="CC183" s="3887"/>
      <c r="CD183" s="3881"/>
      <c r="CE183" s="3887"/>
      <c r="CF183" s="3881"/>
      <c r="CG183" s="3885"/>
      <c r="CH183" s="3885"/>
      <c r="CI183" s="3886" t="str">
        <f>CJ182&amp;"-"&amp;CL182</f>
        <v>46753-46934</v>
      </c>
      <c r="CJ183" s="3887"/>
      <c r="CK183" s="3881"/>
      <c r="CL183" s="3887"/>
      <c r="CM183" s="3881"/>
      <c r="CN183" s="3885"/>
      <c r="CO183" s="3885"/>
      <c r="CP183" s="3886" t="str">
        <f>CQ182&amp;"-"&amp;CS182</f>
        <v>46935-47118</v>
      </c>
      <c r="CQ183" s="3887"/>
      <c r="CR183" s="3881"/>
      <c r="CS183" s="3887"/>
      <c r="CT183" s="3881"/>
      <c r="CU183" s="4203"/>
      <c r="CV183" s="4200"/>
      <c r="CW183" s="4093"/>
      <c r="CX183" s="4196"/>
      <c r="CY183" s="4196" t="str">
        <f>IF(T183="","",T183)</f>
        <v/>
      </c>
      <c r="CZ183" s="4196"/>
      <c r="DA183" s="4196"/>
      <c r="DB183" s="3858">
        <v>0</v>
      </c>
    </row>
    <row s="7330" customFormat="1" customHeight="1" ht="21">
      <c r="A184" s="4183"/>
      <c r="B184" s="4183"/>
      <c r="C184" s="4183"/>
      <c r="D184" s="4183"/>
      <c r="E184" s="4184"/>
      <c r="F184" s="4184"/>
      <c r="G184" s="4184"/>
      <c r="H184" s="4184"/>
      <c r="I184" s="4185"/>
      <c r="J184" s="4186" t="str">
        <f>I172&amp;".2"</f>
        <v>1.7.1.1.2</v>
      </c>
      <c r="K184" s="4183"/>
      <c r="L184" s="4187"/>
      <c r="M184" s="4188"/>
      <c r="N184" s="4188"/>
      <c r="O184" s="4188"/>
      <c r="P184" s="4189"/>
      <c r="Q184" s="4189"/>
      <c r="R184" s="4205"/>
      <c r="S184" s="7331"/>
      <c r="T184" s="7332" t="s">
        <v>615</v>
      </c>
      <c r="U184" s="7333"/>
      <c r="V184" s="7334"/>
      <c r="W184" s="7335"/>
      <c r="X184" s="7336"/>
      <c r="Y184" s="7337"/>
      <c r="Z184" s="7338"/>
      <c r="AA184" s="7339"/>
      <c r="AB184" s="7340"/>
      <c r="AC184" s="7341"/>
      <c r="AD184" s="7342"/>
      <c r="AE184" s="7343"/>
      <c r="AF184" s="7344"/>
      <c r="AG184" s="7345"/>
      <c r="AH184" s="7346"/>
      <c r="AI184" s="7347"/>
      <c r="AJ184" s="7348"/>
      <c r="AK184" s="7349"/>
      <c r="AL184" s="7350"/>
      <c r="AM184" s="7351"/>
      <c r="AN184" s="7352"/>
      <c r="AO184" s="7353"/>
      <c r="AP184" s="7354"/>
      <c r="AQ184" s="7355"/>
      <c r="AR184" s="7356"/>
      <c r="AS184" s="7357"/>
      <c r="AT184" s="7358"/>
      <c r="AU184" s="7359"/>
      <c r="AV184" s="7360"/>
      <c r="AW184" s="7361"/>
      <c r="AX184" s="7362"/>
      <c r="AY184" s="7363"/>
      <c r="AZ184" s="7364"/>
      <c r="BA184" s="7365"/>
      <c r="BB184" s="7366"/>
      <c r="BC184" s="7367"/>
      <c r="BD184" s="7368"/>
      <c r="BE184" s="7369"/>
      <c r="BF184" s="7370"/>
      <c r="BG184" s="7371"/>
      <c r="BH184" s="7372"/>
      <c r="BI184" s="7373"/>
      <c r="BJ184" s="7374"/>
      <c r="BK184" s="7375"/>
      <c r="BL184" s="7376"/>
      <c r="BM184" s="7377"/>
      <c r="BN184" s="7378"/>
      <c r="BO184" s="7379"/>
      <c r="BP184" s="7380"/>
      <c r="BQ184" s="7381"/>
      <c r="BR184" s="7382"/>
      <c r="BS184" s="7383"/>
      <c r="BT184" s="7384"/>
      <c r="BU184" s="7385"/>
      <c r="BV184" s="7386"/>
      <c r="BW184" s="7387"/>
      <c r="BX184" s="7388"/>
      <c r="BY184" s="7389"/>
      <c r="BZ184" s="7390"/>
      <c r="CA184" s="7391"/>
      <c r="CB184" s="7392"/>
      <c r="CC184" s="7393"/>
      <c r="CD184" s="7394"/>
      <c r="CE184" s="7395"/>
      <c r="CF184" s="7396"/>
      <c r="CG184" s="7397"/>
      <c r="CH184" s="7398"/>
      <c r="CI184" s="7399"/>
      <c r="CJ184" s="7400"/>
      <c r="CK184" s="7401"/>
      <c r="CL184" s="7402"/>
      <c r="CM184" s="7403"/>
      <c r="CN184" s="7404"/>
      <c r="CO184" s="7405"/>
      <c r="CP184" s="7406"/>
      <c r="CQ184" s="7407"/>
      <c r="CR184" s="7408"/>
      <c r="CS184" s="7409"/>
      <c r="CT184" s="7410"/>
      <c r="CU184" s="7411"/>
      <c r="CV184" s="4287" t="s">
        <v>616</v>
      </c>
      <c r="CW184" s="4093"/>
      <c r="CX184" s="4196"/>
      <c r="CY184" s="4196" t="str">
        <f>IF(T184="","",T184)</f>
        <v>Добавить значение признака дифференциации</v>
      </c>
      <c r="CZ184" s="4196"/>
      <c r="DA184" s="4196"/>
      <c r="DB184" s="3858">
        <v>0</v>
      </c>
    </row>
    <row s="7412" customFormat="1" customHeight="1" ht="21">
      <c r="A185" s="4183"/>
      <c r="B185" s="4183"/>
      <c r="C185" s="4183"/>
      <c r="D185" s="4183"/>
      <c r="E185" s="4184"/>
      <c r="F185" s="4184" t="s">
        <v>96</v>
      </c>
      <c r="G185" s="4184"/>
      <c r="H185" s="4184"/>
      <c r="I185" s="4186"/>
      <c r="J185" s="4183"/>
      <c r="K185" s="4183"/>
      <c r="L185" s="4187"/>
      <c r="M185" s="4188"/>
      <c r="N185" s="4188"/>
      <c r="O185" s="4188"/>
      <c r="P185" s="4189"/>
      <c r="Q185" s="4189"/>
      <c r="R185" s="4205"/>
      <c r="S185" s="7413"/>
      <c r="T185" s="7414" t="s">
        <v>544</v>
      </c>
      <c r="U185" s="7415"/>
      <c r="V185" s="7416"/>
      <c r="W185" s="7417"/>
      <c r="X185" s="7418"/>
      <c r="Y185" s="7419"/>
      <c r="Z185" s="7420"/>
      <c r="AA185" s="7421"/>
      <c r="AB185" s="7422"/>
      <c r="AC185" s="7423"/>
      <c r="AD185" s="7424"/>
      <c r="AE185" s="7425"/>
      <c r="AF185" s="7426"/>
      <c r="AG185" s="7427"/>
      <c r="AH185" s="7428"/>
      <c r="AI185" s="7429"/>
      <c r="AJ185" s="7430"/>
      <c r="AK185" s="7431"/>
      <c r="AL185" s="7432"/>
      <c r="AM185" s="7433"/>
      <c r="AN185" s="7434"/>
      <c r="AO185" s="7435"/>
      <c r="AP185" s="7436"/>
      <c r="AQ185" s="7437"/>
      <c r="AR185" s="7438"/>
      <c r="AS185" s="7439"/>
      <c r="AT185" s="7440"/>
      <c r="AU185" s="7441"/>
      <c r="AV185" s="7442"/>
      <c r="AW185" s="7443"/>
      <c r="AX185" s="7444"/>
      <c r="AY185" s="7445"/>
      <c r="AZ185" s="7446"/>
      <c r="BA185" s="7447"/>
      <c r="BB185" s="7448"/>
      <c r="BC185" s="7449"/>
      <c r="BD185" s="7450"/>
      <c r="BE185" s="7451"/>
      <c r="BF185" s="7452"/>
      <c r="BG185" s="7453"/>
      <c r="BH185" s="7454"/>
      <c r="BI185" s="7455"/>
      <c r="BJ185" s="7456"/>
      <c r="BK185" s="7457"/>
      <c r="BL185" s="7458"/>
      <c r="BM185" s="7459"/>
      <c r="BN185" s="7460"/>
      <c r="BO185" s="7461"/>
      <c r="BP185" s="7462"/>
      <c r="BQ185" s="7463"/>
      <c r="BR185" s="7464"/>
      <c r="BS185" s="7465"/>
      <c r="BT185" s="7466"/>
      <c r="BU185" s="7467"/>
      <c r="BV185" s="7468"/>
      <c r="BW185" s="7469"/>
      <c r="BX185" s="7470"/>
      <c r="BY185" s="7471"/>
      <c r="BZ185" s="7472"/>
      <c r="CA185" s="7473"/>
      <c r="CB185" s="7474"/>
      <c r="CC185" s="7475"/>
      <c r="CD185" s="7476"/>
      <c r="CE185" s="7477"/>
      <c r="CF185" s="7478"/>
      <c r="CG185" s="7479"/>
      <c r="CH185" s="7480"/>
      <c r="CI185" s="7481"/>
      <c r="CJ185" s="7482"/>
      <c r="CK185" s="7483"/>
      <c r="CL185" s="7484"/>
      <c r="CM185" s="7485"/>
      <c r="CN185" s="7486"/>
      <c r="CO185" s="7487"/>
      <c r="CP185" s="7488"/>
      <c r="CQ185" s="7489"/>
      <c r="CR185" s="7490"/>
      <c r="CS185" s="7491"/>
      <c r="CT185" s="7492"/>
      <c r="CU185" s="7493"/>
      <c r="CV185" s="7494"/>
      <c r="CW185" s="4093"/>
      <c r="CX185" s="4196"/>
      <c r="CY185" s="4196" t="str">
        <f>IF(T185="","",T185)</f>
        <v>Добавить группу потребителей</v>
      </c>
      <c r="CZ185" s="4196"/>
      <c r="DA185" s="4196"/>
      <c r="DB185" s="3858">
        <v>0</v>
      </c>
    </row>
    <row s="7495" customFormat="1" customHeight="1" ht="14.25">
      <c r="A186" s="4183"/>
      <c r="B186" s="4183"/>
      <c r="C186" s="4183"/>
      <c r="D186" s="4183"/>
      <c r="E186" s="4184"/>
      <c r="F186" s="4184" t="s">
        <v>96</v>
      </c>
      <c r="G186" s="4184"/>
      <c r="H186" s="4500"/>
      <c r="I186" s="4183"/>
      <c r="J186" s="4183"/>
      <c r="K186" s="4183"/>
      <c r="L186" s="4187"/>
      <c r="M186" s="4501"/>
      <c r="N186" s="4501"/>
      <c r="O186" s="4083"/>
      <c r="P186" s="4853"/>
      <c r="Q186" s="4854"/>
      <c r="R186" s="4855"/>
      <c r="S186" s="7496"/>
      <c r="T186" s="7497" t="s">
        <v>617</v>
      </c>
      <c r="U186" s="7498"/>
      <c r="V186" s="7499"/>
      <c r="W186" s="7500"/>
      <c r="X186" s="7501"/>
      <c r="Y186" s="7502"/>
      <c r="Z186" s="7503"/>
      <c r="AA186" s="7504"/>
      <c r="AB186" s="7505"/>
      <c r="AC186" s="7506"/>
      <c r="AD186" s="7507"/>
      <c r="AE186" s="7508"/>
      <c r="AF186" s="7509"/>
      <c r="AG186" s="7510"/>
      <c r="AH186" s="7511"/>
      <c r="AI186" s="7512"/>
      <c r="AJ186" s="7513"/>
      <c r="AK186" s="7514"/>
      <c r="AL186" s="7515"/>
      <c r="AM186" s="7516"/>
      <c r="AN186" s="7517"/>
      <c r="AO186" s="7518"/>
      <c r="AP186" s="7519"/>
      <c r="AQ186" s="7520"/>
      <c r="AR186" s="7521"/>
      <c r="AS186" s="7522"/>
      <c r="AT186" s="7523"/>
      <c r="AU186" s="7524"/>
      <c r="AV186" s="7525"/>
      <c r="AW186" s="7526"/>
      <c r="AX186" s="7527"/>
      <c r="AY186" s="7528"/>
      <c r="AZ186" s="7529"/>
      <c r="BA186" s="7530"/>
      <c r="BB186" s="7531"/>
      <c r="BC186" s="7532"/>
      <c r="BD186" s="7533"/>
      <c r="BE186" s="7534"/>
      <c r="BF186" s="7535"/>
      <c r="BG186" s="7536"/>
      <c r="BH186" s="7537"/>
      <c r="BI186" s="7538"/>
      <c r="BJ186" s="7539"/>
      <c r="BK186" s="7540"/>
      <c r="BL186" s="7541"/>
      <c r="BM186" s="7542"/>
      <c r="BN186" s="7543"/>
      <c r="BO186" s="7544"/>
      <c r="BP186" s="7545"/>
      <c r="BQ186" s="7546"/>
      <c r="BR186" s="7547"/>
      <c r="BS186" s="7548"/>
      <c r="BT186" s="7549"/>
      <c r="BU186" s="7550"/>
      <c r="BV186" s="7551"/>
      <c r="BW186" s="7552"/>
      <c r="BX186" s="7553"/>
      <c r="BY186" s="7554"/>
      <c r="BZ186" s="7555"/>
      <c r="CA186" s="7556"/>
      <c r="CB186" s="7557"/>
      <c r="CC186" s="7558"/>
      <c r="CD186" s="7559"/>
      <c r="CE186" s="7560"/>
      <c r="CF186" s="7561"/>
      <c r="CG186" s="7562"/>
      <c r="CH186" s="7563"/>
      <c r="CI186" s="7564"/>
      <c r="CJ186" s="7565"/>
      <c r="CK186" s="7566"/>
      <c r="CL186" s="7567"/>
      <c r="CM186" s="7568"/>
      <c r="CN186" s="7569"/>
      <c r="CO186" s="7570"/>
      <c r="CP186" s="7571"/>
      <c r="CQ186" s="7572"/>
      <c r="CR186" s="7573"/>
      <c r="CS186" s="7574"/>
      <c r="CT186" s="7575"/>
      <c r="CU186" s="7576"/>
      <c r="CV186" s="7577"/>
      <c r="CW186" s="4093"/>
      <c r="CX186" s="4196"/>
      <c r="CY186" s="4196" t="str">
        <f>IF(T186="","",T186)</f>
        <v>Добавить наименование признака дифференциации</v>
      </c>
      <c r="CZ186" s="4196"/>
      <c r="DA186" s="4196"/>
      <c r="DB186" s="3858">
        <v>0</v>
      </c>
    </row>
    <row s="7578" customFormat="1" customHeight="1" ht="14.25">
      <c r="A187" s="4939"/>
      <c r="B187" s="4939"/>
      <c r="C187" s="4939"/>
      <c r="D187" s="4939"/>
      <c r="E187" s="4184"/>
      <c r="F187" s="4500" t="s">
        <v>96</v>
      </c>
      <c r="G187" s="4939"/>
      <c r="H187" s="4939"/>
      <c r="I187" s="4939"/>
      <c r="J187" s="4939"/>
      <c r="K187" s="4939"/>
      <c r="L187" s="4940"/>
      <c r="M187" s="4941"/>
      <c r="N187" s="4941"/>
      <c r="O187" s="4093"/>
      <c r="P187" s="4942"/>
      <c r="Q187" s="4943"/>
      <c r="R187" s="4942"/>
      <c r="S187" s="4944"/>
      <c r="T187" s="4945" t="s">
        <v>302</v>
      </c>
      <c r="U187" s="4081"/>
      <c r="V187" s="4081"/>
      <c r="W187" s="4081"/>
      <c r="X187" s="4081"/>
      <c r="Y187" s="4081"/>
      <c r="Z187" s="4081"/>
      <c r="AA187" s="4081"/>
      <c r="AB187" s="4081"/>
      <c r="AC187" s="4081"/>
      <c r="AD187" s="4081"/>
      <c r="AE187" s="4081"/>
      <c r="AF187" s="4081"/>
      <c r="AG187" s="4081"/>
      <c r="AH187" s="4081"/>
      <c r="AI187" s="4081"/>
      <c r="AJ187" s="4081"/>
      <c r="AK187" s="4081"/>
      <c r="AL187" s="4081"/>
      <c r="AM187" s="4081"/>
      <c r="AN187" s="4081"/>
      <c r="AO187" s="4081"/>
      <c r="AP187" s="4081"/>
      <c r="AQ187" s="4081"/>
      <c r="AR187" s="4081"/>
      <c r="AS187" s="4081"/>
      <c r="AT187" s="4081"/>
      <c r="AU187" s="4081"/>
      <c r="AV187" s="4081"/>
      <c r="AW187" s="4081"/>
      <c r="AX187" s="4081"/>
      <c r="AY187" s="4081"/>
      <c r="AZ187" s="4081"/>
      <c r="BA187" s="4081"/>
      <c r="BB187" s="4081"/>
      <c r="BC187" s="4081"/>
      <c r="BD187" s="4081"/>
      <c r="BE187" s="4081"/>
      <c r="BF187" s="4081"/>
      <c r="BG187" s="4081"/>
      <c r="BH187" s="4081"/>
      <c r="BI187" s="4081"/>
      <c r="BJ187" s="4081"/>
      <c r="BK187" s="4081"/>
      <c r="BL187" s="4081"/>
      <c r="BM187" s="4081"/>
      <c r="BN187" s="4081"/>
      <c r="BO187" s="4081"/>
      <c r="BP187" s="4081"/>
      <c r="BQ187" s="4081"/>
      <c r="BR187" s="4081"/>
      <c r="BS187" s="4081"/>
      <c r="BT187" s="4081"/>
      <c r="BU187" s="4081"/>
      <c r="BV187" s="4081"/>
      <c r="BW187" s="4081"/>
      <c r="BX187" s="4081"/>
      <c r="BY187" s="4081"/>
      <c r="BZ187" s="4081"/>
      <c r="CA187" s="4081"/>
      <c r="CB187" s="4081"/>
      <c r="CC187" s="4081"/>
      <c r="CD187" s="4081"/>
      <c r="CE187" s="4081"/>
      <c r="CF187" s="4081"/>
      <c r="CG187" s="4081"/>
      <c r="CH187" s="4081"/>
      <c r="CI187" s="4081"/>
      <c r="CJ187" s="4081"/>
      <c r="CK187" s="4081"/>
      <c r="CL187" s="4081"/>
      <c r="CM187" s="4081"/>
      <c r="CN187" s="4081"/>
      <c r="CO187" s="4081"/>
      <c r="CP187" s="4081"/>
      <c r="CQ187" s="4081"/>
      <c r="CR187" s="4081"/>
      <c r="CS187" s="4081"/>
      <c r="CT187" s="4081"/>
      <c r="CU187" s="4081"/>
      <c r="CV187" s="4081"/>
      <c r="CW187" s="4093"/>
      <c r="CX187" s="4196"/>
      <c r="CY187" s="4196" t="str">
        <f>IF(T187="","",T187)</f>
        <v>Добавить централизованную систему для дифференциации</v>
      </c>
      <c r="CZ187" s="4196"/>
      <c r="DA187" s="4196"/>
      <c r="DB187" s="4093">
        <v>0</v>
      </c>
    </row>
    <row s="7579" customFormat="1" customHeight="1" ht="23.25">
      <c r="A188" s="4183"/>
      <c r="B188" s="4183" t="s">
        <v>325</v>
      </c>
      <c r="C188" s="4183"/>
      <c r="D188" s="4183"/>
      <c r="E188" s="4184"/>
      <c r="F188" s="4500" t="s">
        <v>135</v>
      </c>
      <c r="G188" s="4183"/>
      <c r="H188" s="4183"/>
      <c r="I188" s="4183"/>
      <c r="J188" s="4183"/>
      <c r="K188" s="4183"/>
      <c r="L188" s="4187"/>
      <c r="M188" s="4501"/>
      <c r="N188" s="4501"/>
      <c r="O188" s="4501"/>
      <c r="P188" s="4502"/>
      <c r="Q188" s="4503"/>
      <c r="R188" s="4504"/>
      <c r="S188" s="4192" t="str">
        <f>INDEX(PT_DIFFERENTIATION_NUM_TER,MATCH(B188,PT_DIFFERENTIATION_TER_ID,0))</f>
        <v>1.8</v>
      </c>
      <c r="T188" s="4505" t="s">
        <v>529</v>
      </c>
      <c r="U188" s="4194"/>
      <c r="V188" s="3860"/>
      <c r="W188" s="3861"/>
      <c r="X188" s="3861"/>
      <c r="Y188" s="3861"/>
      <c r="Z188" s="3861"/>
      <c r="AA188" s="3861"/>
      <c r="AB188" s="3862"/>
      <c r="AC188" s="3860" t="str">
        <f>INDEX(PT_DIFFERENTIATION_TER,MATCH(B188,PT_DIFFERENTIATION_TER_ID,0))</f>
        <v>Территория 8</v>
      </c>
      <c r="AD188" s="3861"/>
      <c r="AE188" s="3861"/>
      <c r="AF188" s="3861"/>
      <c r="AG188" s="3861"/>
      <c r="AH188" s="3861"/>
      <c r="AI188" s="3861"/>
      <c r="AJ188" s="3860"/>
      <c r="AK188" s="3861"/>
      <c r="AL188" s="3861"/>
      <c r="AM188" s="3861"/>
      <c r="AN188" s="3861"/>
      <c r="AO188" s="3861"/>
      <c r="AP188" s="3862"/>
      <c r="AQ188" s="3860"/>
      <c r="AR188" s="3861"/>
      <c r="AS188" s="3861"/>
      <c r="AT188" s="3861"/>
      <c r="AU188" s="3861"/>
      <c r="AV188" s="3861"/>
      <c r="AW188" s="3862"/>
      <c r="AX188" s="3860"/>
      <c r="AY188" s="3861"/>
      <c r="AZ188" s="3861"/>
      <c r="BA188" s="3861"/>
      <c r="BB188" s="3861"/>
      <c r="BC188" s="3861"/>
      <c r="BD188" s="3862"/>
      <c r="BE188" s="3860"/>
      <c r="BF188" s="3861"/>
      <c r="BG188" s="3861"/>
      <c r="BH188" s="3861"/>
      <c r="BI188" s="3861"/>
      <c r="BJ188" s="3861"/>
      <c r="BK188" s="3862"/>
      <c r="BL188" s="3860"/>
      <c r="BM188" s="3861"/>
      <c r="BN188" s="3861"/>
      <c r="BO188" s="3861"/>
      <c r="BP188" s="3861"/>
      <c r="BQ188" s="3861"/>
      <c r="BR188" s="3862"/>
      <c r="BS188" s="3860"/>
      <c r="BT188" s="3861"/>
      <c r="BU188" s="3861"/>
      <c r="BV188" s="3861"/>
      <c r="BW188" s="3861"/>
      <c r="BX188" s="3861"/>
      <c r="BY188" s="3862"/>
      <c r="BZ188" s="3860"/>
      <c r="CA188" s="3861"/>
      <c r="CB188" s="3861"/>
      <c r="CC188" s="3861"/>
      <c r="CD188" s="3861"/>
      <c r="CE188" s="3861"/>
      <c r="CF188" s="3862"/>
      <c r="CG188" s="3860"/>
      <c r="CH188" s="3861"/>
      <c r="CI188" s="3861"/>
      <c r="CJ188" s="3861"/>
      <c r="CK188" s="3861"/>
      <c r="CL188" s="3861"/>
      <c r="CM188" s="3862"/>
      <c r="CN188" s="3860"/>
      <c r="CO188" s="3861"/>
      <c r="CP188" s="3861"/>
      <c r="CQ188" s="3861"/>
      <c r="CR188" s="3861"/>
      <c r="CS188" s="3861"/>
      <c r="CT188" s="3862"/>
      <c r="CU188" s="3862"/>
      <c r="CV188" s="4287" t="s">
        <v>530</v>
      </c>
      <c r="CW188" s="4093"/>
      <c r="CX188" s="4196"/>
      <c r="CY188" s="4196" t="str">
        <f>IF(T188="","",T188)</f>
        <v>Территория действия тарифа</v>
      </c>
      <c r="CZ188" s="4196"/>
      <c r="DA188" s="4196"/>
      <c r="DB188" s="3858">
        <v>0</v>
      </c>
    </row>
    <row s="7580" customFormat="1" customHeight="1" ht="23.25">
      <c r="A189" s="4183"/>
      <c r="B189" s="4183"/>
      <c r="C189" s="4183" t="s">
        <v>326</v>
      </c>
      <c r="D189" s="4183"/>
      <c r="E189" s="4184"/>
      <c r="F189" s="4184" t="s">
        <v>97</v>
      </c>
      <c r="G189" s="4500">
        <v>1</v>
      </c>
      <c r="H189" s="4183"/>
      <c r="I189" s="4183"/>
      <c r="J189" s="4183"/>
      <c r="K189" s="4183"/>
      <c r="L189" s="4187"/>
      <c r="M189" s="4501"/>
      <c r="N189" s="4501"/>
      <c r="O189" s="4501"/>
      <c r="P189" s="4507"/>
      <c r="Q189" s="4503"/>
      <c r="R189" s="4504"/>
      <c r="S189" s="4192" t="str">
        <f>INDEX(PT_DIFFERENTIATION_NUM_CS,MATCH(C189,PT_DIFFERENTIATION_CS_ID,0))</f>
        <v>1.8.1</v>
      </c>
      <c r="T189" s="4508" t="s">
        <v>610</v>
      </c>
      <c r="U189" s="4194"/>
      <c r="V189" s="3860"/>
      <c r="W189" s="3861"/>
      <c r="X189" s="3861"/>
      <c r="Y189" s="3861"/>
      <c r="Z189" s="3861"/>
      <c r="AA189" s="3861"/>
      <c r="AB189" s="3862"/>
      <c r="AC189" s="3860" t="str">
        <f>INDEX(PT_DIFFERENTIATION_CS,MATCH(C189,PT_DIFFERENTIATION_CS_ID,0))</f>
        <v>без дифференциации</v>
      </c>
      <c r="AD189" s="3861"/>
      <c r="AE189" s="3861"/>
      <c r="AF189" s="3861"/>
      <c r="AG189" s="3861"/>
      <c r="AH189" s="3861"/>
      <c r="AI189" s="3861"/>
      <c r="AJ189" s="3860"/>
      <c r="AK189" s="3861"/>
      <c r="AL189" s="3861"/>
      <c r="AM189" s="3861"/>
      <c r="AN189" s="3861"/>
      <c r="AO189" s="3861"/>
      <c r="AP189" s="3862"/>
      <c r="AQ189" s="3860"/>
      <c r="AR189" s="3861"/>
      <c r="AS189" s="3861"/>
      <c r="AT189" s="3861"/>
      <c r="AU189" s="3861"/>
      <c r="AV189" s="3861"/>
      <c r="AW189" s="3862"/>
      <c r="AX189" s="3860"/>
      <c r="AY189" s="3861"/>
      <c r="AZ189" s="3861"/>
      <c r="BA189" s="3861"/>
      <c r="BB189" s="3861"/>
      <c r="BC189" s="3861"/>
      <c r="BD189" s="3862"/>
      <c r="BE189" s="3860"/>
      <c r="BF189" s="3861"/>
      <c r="BG189" s="3861"/>
      <c r="BH189" s="3861"/>
      <c r="BI189" s="3861"/>
      <c r="BJ189" s="3861"/>
      <c r="BK189" s="3862"/>
      <c r="BL189" s="3860"/>
      <c r="BM189" s="3861"/>
      <c r="BN189" s="3861"/>
      <c r="BO189" s="3861"/>
      <c r="BP189" s="3861"/>
      <c r="BQ189" s="3861"/>
      <c r="BR189" s="3862"/>
      <c r="BS189" s="3860"/>
      <c r="BT189" s="3861"/>
      <c r="BU189" s="3861"/>
      <c r="BV189" s="3861"/>
      <c r="BW189" s="3861"/>
      <c r="BX189" s="3861"/>
      <c r="BY189" s="3862"/>
      <c r="BZ189" s="3860"/>
      <c r="CA189" s="3861"/>
      <c r="CB189" s="3861"/>
      <c r="CC189" s="3861"/>
      <c r="CD189" s="3861"/>
      <c r="CE189" s="3861"/>
      <c r="CF189" s="3862"/>
      <c r="CG189" s="3860"/>
      <c r="CH189" s="3861"/>
      <c r="CI189" s="3861"/>
      <c r="CJ189" s="3861"/>
      <c r="CK189" s="3861"/>
      <c r="CL189" s="3861"/>
      <c r="CM189" s="3862"/>
      <c r="CN189" s="3860"/>
      <c r="CO189" s="3861"/>
      <c r="CP189" s="3861"/>
      <c r="CQ189" s="3861"/>
      <c r="CR189" s="3861"/>
      <c r="CS189" s="3861"/>
      <c r="CT189" s="3862"/>
      <c r="CU189" s="3862"/>
      <c r="CV189" s="4287" t="s">
        <v>611</v>
      </c>
      <c r="CW189" s="4093"/>
      <c r="CX189" s="4196"/>
      <c r="CY189" s="4196" t="str">
        <f>IF(T189="","",T189)</f>
        <v>Наименование централизованной системы холодного водоснабжения</v>
      </c>
      <c r="CZ189" s="4196"/>
      <c r="DA189" s="4196"/>
      <c r="DB189" s="3858">
        <v>0</v>
      </c>
    </row>
    <row s="7581" customFormat="1" customHeight="1" ht="23.25">
      <c r="A190" s="4183"/>
      <c r="B190" s="4183"/>
      <c r="C190" s="4183"/>
      <c r="D190" s="4183"/>
      <c r="E190" s="4184"/>
      <c r="F190" s="4184" t="s">
        <v>97</v>
      </c>
      <c r="G190" s="4184"/>
      <c r="H190" s="4184"/>
      <c r="I190" s="4186" t="str">
        <f>S189&amp;".1"</f>
        <v>1.8.1.1</v>
      </c>
      <c r="J190" s="4183"/>
      <c r="K190" s="4183"/>
      <c r="L190" s="4187"/>
      <c r="M190" s="4188"/>
      <c r="N190" s="4188"/>
      <c r="O190" s="4188"/>
      <c r="P190" s="4189">
        <v>1</v>
      </c>
      <c r="Q190" s="4189"/>
      <c r="R190" s="4205"/>
      <c r="S190" s="4192" t="str">
        <f>$I190</f>
        <v>1.8.1.1</v>
      </c>
      <c r="T190" s="4510" t="s">
        <v>612</v>
      </c>
      <c r="U190" s="4194"/>
      <c r="V190" s="3870"/>
      <c r="W190" s="3871"/>
      <c r="X190" s="3871"/>
      <c r="Y190" s="3871"/>
      <c r="Z190" s="3871"/>
      <c r="AA190" s="3871"/>
      <c r="AB190" s="3872"/>
      <c r="AC190" s="4511"/>
      <c r="AD190" s="4512"/>
      <c r="AE190" s="4512"/>
      <c r="AF190" s="4512"/>
      <c r="AG190" s="4512"/>
      <c r="AH190" s="4512"/>
      <c r="AI190" s="4512"/>
      <c r="AJ190" s="3870"/>
      <c r="AK190" s="3871"/>
      <c r="AL190" s="3871"/>
      <c r="AM190" s="3871"/>
      <c r="AN190" s="3871"/>
      <c r="AO190" s="3871"/>
      <c r="AP190" s="3872"/>
      <c r="AQ190" s="3870"/>
      <c r="AR190" s="3871"/>
      <c r="AS190" s="3871"/>
      <c r="AT190" s="3871"/>
      <c r="AU190" s="3871"/>
      <c r="AV190" s="3871"/>
      <c r="AW190" s="3872"/>
      <c r="AX190" s="3870"/>
      <c r="AY190" s="3871"/>
      <c r="AZ190" s="3871"/>
      <c r="BA190" s="3871"/>
      <c r="BB190" s="3871"/>
      <c r="BC190" s="3871"/>
      <c r="BD190" s="3872"/>
      <c r="BE190" s="3870"/>
      <c r="BF190" s="3871"/>
      <c r="BG190" s="3871"/>
      <c r="BH190" s="3871"/>
      <c r="BI190" s="3871"/>
      <c r="BJ190" s="3871"/>
      <c r="BK190" s="3872"/>
      <c r="BL190" s="3870"/>
      <c r="BM190" s="3871"/>
      <c r="BN190" s="3871"/>
      <c r="BO190" s="3871"/>
      <c r="BP190" s="3871"/>
      <c r="BQ190" s="3871"/>
      <c r="BR190" s="3872"/>
      <c r="BS190" s="3870"/>
      <c r="BT190" s="3871"/>
      <c r="BU190" s="3871"/>
      <c r="BV190" s="3871"/>
      <c r="BW190" s="3871"/>
      <c r="BX190" s="3871"/>
      <c r="BY190" s="3872"/>
      <c r="BZ190" s="3870"/>
      <c r="CA190" s="3871"/>
      <c r="CB190" s="3871"/>
      <c r="CC190" s="3871"/>
      <c r="CD190" s="3871"/>
      <c r="CE190" s="3871"/>
      <c r="CF190" s="3872"/>
      <c r="CG190" s="3870"/>
      <c r="CH190" s="3871"/>
      <c r="CI190" s="3871"/>
      <c r="CJ190" s="3871"/>
      <c r="CK190" s="3871"/>
      <c r="CL190" s="3871"/>
      <c r="CM190" s="3872"/>
      <c r="CN190" s="3870"/>
      <c r="CO190" s="3871"/>
      <c r="CP190" s="3871"/>
      <c r="CQ190" s="3871"/>
      <c r="CR190" s="3871"/>
      <c r="CS190" s="3871"/>
      <c r="CT190" s="3872"/>
      <c r="CU190" s="4513"/>
      <c r="CV190" s="4287" t="s">
        <v>613</v>
      </c>
      <c r="CW190" s="4093"/>
      <c r="CX190" s="4196"/>
      <c r="CY190" s="4196" t="str">
        <f>IF(T190="","",T190)</f>
        <v>Наименование признака дифференциации</v>
      </c>
      <c r="CZ190" s="4196"/>
      <c r="DA190" s="4196"/>
      <c r="DB190" s="3858">
        <v>0</v>
      </c>
    </row>
    <row s="7582" customFormat="1" customHeight="1" ht="23.25">
      <c r="A191" s="4183"/>
      <c r="B191" s="4183"/>
      <c r="C191" s="4183"/>
      <c r="D191" s="4183"/>
      <c r="E191" s="4184"/>
      <c r="F191" s="4184" t="s">
        <v>97</v>
      </c>
      <c r="G191" s="4184"/>
      <c r="H191" s="4184"/>
      <c r="I191" s="4185"/>
      <c r="J191" s="4186" t="str">
        <f>I190&amp;".1"</f>
        <v>1.8.1.1.1</v>
      </c>
      <c r="K191" s="4183"/>
      <c r="L191" s="4187" t="s">
        <v>538</v>
      </c>
      <c r="M191" s="4188"/>
      <c r="N191" s="4188"/>
      <c r="O191" s="4188"/>
      <c r="P191" s="4189"/>
      <c r="Q191" s="4189">
        <v>1</v>
      </c>
      <c r="R191" s="4191"/>
      <c r="S191" s="4192" t="str">
        <f>$J191</f>
        <v>1.8.1.1.1</v>
      </c>
      <c r="T191" s="4193" t="s">
        <v>539</v>
      </c>
      <c r="U191" s="4194"/>
      <c r="V191" s="3874"/>
      <c r="W191" s="3875"/>
      <c r="X191" s="3875"/>
      <c r="Y191" s="3875"/>
      <c r="Z191" s="3875"/>
      <c r="AA191" s="3875"/>
      <c r="AB191" s="3876"/>
      <c r="AC191" s="3874" t="s">
        <v>625</v>
      </c>
      <c r="AD191" s="3875"/>
      <c r="AE191" s="3875"/>
      <c r="AF191" s="3875"/>
      <c r="AG191" s="3875"/>
      <c r="AH191" s="3875"/>
      <c r="AI191" s="3875"/>
      <c r="AJ191" s="3874"/>
      <c r="AK191" s="3875"/>
      <c r="AL191" s="3875"/>
      <c r="AM191" s="3875"/>
      <c r="AN191" s="3875"/>
      <c r="AO191" s="3875"/>
      <c r="AP191" s="3876"/>
      <c r="AQ191" s="3874"/>
      <c r="AR191" s="3875"/>
      <c r="AS191" s="3875"/>
      <c r="AT191" s="3875"/>
      <c r="AU191" s="3875"/>
      <c r="AV191" s="3875"/>
      <c r="AW191" s="3876"/>
      <c r="AX191" s="3874"/>
      <c r="AY191" s="3875"/>
      <c r="AZ191" s="3875"/>
      <c r="BA191" s="3875"/>
      <c r="BB191" s="3875"/>
      <c r="BC191" s="3875"/>
      <c r="BD191" s="3876"/>
      <c r="BE191" s="3874"/>
      <c r="BF191" s="3875"/>
      <c r="BG191" s="3875"/>
      <c r="BH191" s="3875"/>
      <c r="BI191" s="3875"/>
      <c r="BJ191" s="3875"/>
      <c r="BK191" s="3876"/>
      <c r="BL191" s="3874"/>
      <c r="BM191" s="3875"/>
      <c r="BN191" s="3875"/>
      <c r="BO191" s="3875"/>
      <c r="BP191" s="3875"/>
      <c r="BQ191" s="3875"/>
      <c r="BR191" s="3876"/>
      <c r="BS191" s="3874"/>
      <c r="BT191" s="3875"/>
      <c r="BU191" s="3875"/>
      <c r="BV191" s="3875"/>
      <c r="BW191" s="3875"/>
      <c r="BX191" s="3875"/>
      <c r="BY191" s="3876"/>
      <c r="BZ191" s="3874"/>
      <c r="CA191" s="3875"/>
      <c r="CB191" s="3875"/>
      <c r="CC191" s="3875"/>
      <c r="CD191" s="3875"/>
      <c r="CE191" s="3875"/>
      <c r="CF191" s="3876"/>
      <c r="CG191" s="3874"/>
      <c r="CH191" s="3875"/>
      <c r="CI191" s="3875"/>
      <c r="CJ191" s="3875"/>
      <c r="CK191" s="3875"/>
      <c r="CL191" s="3875"/>
      <c r="CM191" s="3876"/>
      <c r="CN191" s="3874"/>
      <c r="CO191" s="3875"/>
      <c r="CP191" s="3875"/>
      <c r="CQ191" s="3875"/>
      <c r="CR191" s="3875"/>
      <c r="CS191" s="3875"/>
      <c r="CT191" s="3876"/>
      <c r="CU191" s="3876"/>
      <c r="CV191" s="4195" t="s">
        <v>614</v>
      </c>
      <c r="CW191" s="4093"/>
      <c r="CX191" s="4196"/>
      <c r="CY191" s="4196" t="str">
        <f>IF(T191="","",T191)</f>
        <v>Группа потребителей</v>
      </c>
      <c r="CZ191" s="4196"/>
      <c r="DA191" s="4196"/>
      <c r="DB191" s="3858">
        <v>0</v>
      </c>
    </row>
    <row s="7583" customFormat="1" customHeight="1" ht="23.25">
      <c r="A192" s="4183"/>
      <c r="B192" s="4183"/>
      <c r="C192" s="4183"/>
      <c r="D192" s="4183"/>
      <c r="E192" s="4184"/>
      <c r="F192" s="4184" t="s">
        <v>97</v>
      </c>
      <c r="G192" s="4184"/>
      <c r="H192" s="4184"/>
      <c r="I192" s="4185"/>
      <c r="J192" s="4185"/>
      <c r="K192" s="4186" t="str">
        <f>J191&amp;".1"</f>
        <v>1.8.1.1.1.1</v>
      </c>
      <c r="L192" s="4187"/>
      <c r="M192" s="4188"/>
      <c r="N192" s="4188"/>
      <c r="O192" s="4188"/>
      <c r="P192" s="4189"/>
      <c r="Q192" s="4189"/>
      <c r="R192" s="4191">
        <v>1</v>
      </c>
      <c r="S192" s="4192" t="str">
        <f>$K192</f>
        <v>1.8.1.1.1.1</v>
      </c>
      <c r="T192" s="4198"/>
      <c r="U192" s="4194"/>
      <c r="V192" s="3878"/>
      <c r="W192" s="3878"/>
      <c r="X192" s="3879"/>
      <c r="Y192" s="3880"/>
      <c r="Z192" s="3881" t="s">
        <v>65</v>
      </c>
      <c r="AA192" s="3880"/>
      <c r="AB192" s="3881" t="s">
        <v>65</v>
      </c>
      <c r="AC192" s="3878">
        <v>41.74</v>
      </c>
      <c r="AD192" s="3878"/>
      <c r="AE192" s="3879"/>
      <c r="AF192" s="3880">
        <v>45292</v>
      </c>
      <c r="AG192" s="3881" t="s">
        <v>65</v>
      </c>
      <c r="AH192" s="4116">
        <v>45473</v>
      </c>
      <c r="AI192" s="3881" t="s">
        <v>65</v>
      </c>
      <c r="AJ192" s="3878">
        <v>45.28</v>
      </c>
      <c r="AK192" s="3878"/>
      <c r="AL192" s="3879"/>
      <c r="AM192" s="3880">
        <v>45474</v>
      </c>
      <c r="AN192" s="3881" t="s">
        <v>65</v>
      </c>
      <c r="AO192" s="3880">
        <v>45657</v>
      </c>
      <c r="AP192" s="3881" t="s">
        <v>65</v>
      </c>
      <c r="AQ192" s="3878">
        <v>45.28</v>
      </c>
      <c r="AR192" s="3878"/>
      <c r="AS192" s="3879"/>
      <c r="AT192" s="3880">
        <v>45658</v>
      </c>
      <c r="AU192" s="3881" t="s">
        <v>65</v>
      </c>
      <c r="AV192" s="3880">
        <v>45838</v>
      </c>
      <c r="AW192" s="3881" t="s">
        <v>65</v>
      </c>
      <c r="AX192" s="3878">
        <v>49.59</v>
      </c>
      <c r="AY192" s="3878"/>
      <c r="AZ192" s="3879"/>
      <c r="BA192" s="3880">
        <v>45839</v>
      </c>
      <c r="BB192" s="3881" t="s">
        <v>65</v>
      </c>
      <c r="BC192" s="3880">
        <v>46022</v>
      </c>
      <c r="BD192" s="3881" t="s">
        <v>65</v>
      </c>
      <c r="BE192" s="3878">
        <v>39.66</v>
      </c>
      <c r="BF192" s="3878"/>
      <c r="BG192" s="3879"/>
      <c r="BH192" s="3880">
        <v>46023</v>
      </c>
      <c r="BI192" s="3881" t="s">
        <v>65</v>
      </c>
      <c r="BJ192" s="3880">
        <v>46203</v>
      </c>
      <c r="BK192" s="3881" t="s">
        <v>65</v>
      </c>
      <c r="BL192" s="3878">
        <v>41.25</v>
      </c>
      <c r="BM192" s="3878"/>
      <c r="BN192" s="3879"/>
      <c r="BO192" s="3880">
        <v>46204</v>
      </c>
      <c r="BP192" s="3881" t="s">
        <v>65</v>
      </c>
      <c r="BQ192" s="3880">
        <v>46387</v>
      </c>
      <c r="BR192" s="3881" t="s">
        <v>65</v>
      </c>
      <c r="BS192" s="3878">
        <v>41.25</v>
      </c>
      <c r="BT192" s="3878"/>
      <c r="BU192" s="3879"/>
      <c r="BV192" s="3880">
        <v>46388</v>
      </c>
      <c r="BW192" s="3881" t="s">
        <v>65</v>
      </c>
      <c r="BX192" s="3880">
        <v>46568</v>
      </c>
      <c r="BY192" s="3881" t="s">
        <v>65</v>
      </c>
      <c r="BZ192" s="3878">
        <v>42.9</v>
      </c>
      <c r="CA192" s="3878"/>
      <c r="CB192" s="3879"/>
      <c r="CC192" s="3880">
        <v>46569</v>
      </c>
      <c r="CD192" s="3881" t="s">
        <v>65</v>
      </c>
      <c r="CE192" s="3880">
        <v>46752</v>
      </c>
      <c r="CF192" s="3881" t="s">
        <v>65</v>
      </c>
      <c r="CG192" s="3878">
        <v>42.9</v>
      </c>
      <c r="CH192" s="3878"/>
      <c r="CI192" s="3879"/>
      <c r="CJ192" s="3880">
        <v>46753</v>
      </c>
      <c r="CK192" s="3881" t="s">
        <v>65</v>
      </c>
      <c r="CL192" s="3880">
        <v>46934</v>
      </c>
      <c r="CM192" s="3881" t="s">
        <v>65</v>
      </c>
      <c r="CN192" s="3878">
        <v>44.62</v>
      </c>
      <c r="CO192" s="3878"/>
      <c r="CP192" s="3879"/>
      <c r="CQ192" s="3880">
        <v>46935</v>
      </c>
      <c r="CR192" s="3881" t="s">
        <v>65</v>
      </c>
      <c r="CS192" s="3880">
        <v>47118</v>
      </c>
      <c r="CT192" s="3881" t="s">
        <v>65</v>
      </c>
      <c r="CU192" s="4199"/>
      <c r="CV19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2" s="4093">
        <f>STRCHECKDATE(V193:CU193)</f>
      </c>
      <c r="CX192" s="4196"/>
      <c r="CY192" s="4196" t="str">
        <f>IF(T192="","",T192)</f>
        <v/>
      </c>
      <c r="CZ192" s="4196"/>
      <c r="DA192" s="4196"/>
      <c r="DB192" s="3858">
        <v>0</v>
      </c>
    </row>
    <row s="7584" customFormat="1" customHeight="1" ht="14.25">
      <c r="A193" s="4183"/>
      <c r="B193" s="4183"/>
      <c r="C193" s="4183"/>
      <c r="D193" s="4183"/>
      <c r="E193" s="4184"/>
      <c r="F193" s="4184" t="s">
        <v>97</v>
      </c>
      <c r="G193" s="4184"/>
      <c r="H193" s="4184"/>
      <c r="I193" s="4185"/>
      <c r="J193" s="4185"/>
      <c r="K193" s="4186"/>
      <c r="L193" s="4187"/>
      <c r="M193" s="4188"/>
      <c r="N193" s="4188"/>
      <c r="O193" s="4188"/>
      <c r="P193" s="4189"/>
      <c r="Q193" s="4189"/>
      <c r="R193" s="4191"/>
      <c r="S193" s="4202"/>
      <c r="T193" s="4194"/>
      <c r="U193" s="4194"/>
      <c r="V193" s="3885"/>
      <c r="W193" s="3885"/>
      <c r="X193" s="3886" t="str">
        <f>Y192&amp;"-"&amp;AA192</f>
        <v>-</v>
      </c>
      <c r="Y193" s="3887"/>
      <c r="Z193" s="3881"/>
      <c r="AA193" s="3887"/>
      <c r="AB193" s="3881"/>
      <c r="AC193" s="3885"/>
      <c r="AD193" s="3885"/>
      <c r="AE193" s="3886" t="str">
        <f>AF192&amp;"-"&amp;AH192</f>
        <v>45292-45473</v>
      </c>
      <c r="AF193" s="3887"/>
      <c r="AG193" s="3881"/>
      <c r="AH193" s="4118"/>
      <c r="AI193" s="3881"/>
      <c r="AJ193" s="3885"/>
      <c r="AK193" s="3885"/>
      <c r="AL193" s="3886" t="str">
        <f>AM192&amp;"-"&amp;AO192</f>
        <v>45474-45657</v>
      </c>
      <c r="AM193" s="3887"/>
      <c r="AN193" s="3881"/>
      <c r="AO193" s="3887"/>
      <c r="AP193" s="3881"/>
      <c r="AQ193" s="3885"/>
      <c r="AR193" s="3885"/>
      <c r="AS193" s="3886" t="str">
        <f>AT192&amp;"-"&amp;AV192</f>
        <v>45658-45838</v>
      </c>
      <c r="AT193" s="3887"/>
      <c r="AU193" s="3881"/>
      <c r="AV193" s="3887"/>
      <c r="AW193" s="3881"/>
      <c r="AX193" s="3885"/>
      <c r="AY193" s="3885"/>
      <c r="AZ193" s="3886" t="str">
        <f>BA192&amp;"-"&amp;BC192</f>
        <v>45839-46022</v>
      </c>
      <c r="BA193" s="3887"/>
      <c r="BB193" s="3881"/>
      <c r="BC193" s="3887"/>
      <c r="BD193" s="3881"/>
      <c r="BE193" s="3885"/>
      <c r="BF193" s="3885"/>
      <c r="BG193" s="3886" t="str">
        <f>BH192&amp;"-"&amp;BJ192</f>
        <v>46023-46203</v>
      </c>
      <c r="BH193" s="3887"/>
      <c r="BI193" s="3881"/>
      <c r="BJ193" s="3887"/>
      <c r="BK193" s="3881"/>
      <c r="BL193" s="3885"/>
      <c r="BM193" s="3885"/>
      <c r="BN193" s="3886" t="str">
        <f>BO192&amp;"-"&amp;BQ192</f>
        <v>46204-46387</v>
      </c>
      <c r="BO193" s="3887"/>
      <c r="BP193" s="3881"/>
      <c r="BQ193" s="3887"/>
      <c r="BR193" s="3881"/>
      <c r="BS193" s="3885"/>
      <c r="BT193" s="3885"/>
      <c r="BU193" s="3886" t="str">
        <f>BV192&amp;"-"&amp;BX192</f>
        <v>46388-46568</v>
      </c>
      <c r="BV193" s="3887"/>
      <c r="BW193" s="3881"/>
      <c r="BX193" s="3887"/>
      <c r="BY193" s="3881"/>
      <c r="BZ193" s="3885"/>
      <c r="CA193" s="3885"/>
      <c r="CB193" s="3886" t="str">
        <f>CC192&amp;"-"&amp;CE192</f>
        <v>46569-46752</v>
      </c>
      <c r="CC193" s="3887"/>
      <c r="CD193" s="3881"/>
      <c r="CE193" s="3887"/>
      <c r="CF193" s="3881"/>
      <c r="CG193" s="3885"/>
      <c r="CH193" s="3885"/>
      <c r="CI193" s="3886" t="str">
        <f>CJ192&amp;"-"&amp;CL192</f>
        <v>46753-46934</v>
      </c>
      <c r="CJ193" s="3887"/>
      <c r="CK193" s="3881"/>
      <c r="CL193" s="3887"/>
      <c r="CM193" s="3881"/>
      <c r="CN193" s="3885"/>
      <c r="CO193" s="3885"/>
      <c r="CP193" s="3886" t="str">
        <f>CQ192&amp;"-"&amp;CS192</f>
        <v>46935-47118</v>
      </c>
      <c r="CQ193" s="3887"/>
      <c r="CR193" s="3881"/>
      <c r="CS193" s="3887"/>
      <c r="CT193" s="3881"/>
      <c r="CU193" s="4203"/>
      <c r="CV193" s="4200"/>
      <c r="CW193" s="4093"/>
      <c r="CX193" s="4196"/>
      <c r="CY193" s="4196" t="str">
        <f>IF(T193="","",T193)</f>
        <v/>
      </c>
      <c r="CZ193" s="4196"/>
      <c r="DA193" s="4196"/>
      <c r="DB193" s="3858">
        <v>0</v>
      </c>
    </row>
    <row s="7585" customFormat="1" customHeight="1" ht="21">
      <c r="A194" s="4183"/>
      <c r="B194" s="4183"/>
      <c r="C194" s="4183"/>
      <c r="D194" s="4183"/>
      <c r="E194" s="4184"/>
      <c r="F194" s="4184" t="s">
        <v>97</v>
      </c>
      <c r="G194" s="4184"/>
      <c r="H194" s="4184"/>
      <c r="I194" s="4185"/>
      <c r="J194" s="4186"/>
      <c r="K194" s="4183"/>
      <c r="L194" s="4187"/>
      <c r="M194" s="4188"/>
      <c r="N194" s="4188"/>
      <c r="O194" s="4188"/>
      <c r="P194" s="4189"/>
      <c r="Q194" s="4189"/>
      <c r="R194" s="4205"/>
      <c r="S194" s="7586"/>
      <c r="T194" s="7587" t="s">
        <v>615</v>
      </c>
      <c r="U194" s="7588"/>
      <c r="V194" s="7589"/>
      <c r="W194" s="7590"/>
      <c r="X194" s="7591"/>
      <c r="Y194" s="7592"/>
      <c r="Z194" s="7593"/>
      <c r="AA194" s="7594"/>
      <c r="AB194" s="7595"/>
      <c r="AC194" s="7596"/>
      <c r="AD194" s="7597"/>
      <c r="AE194" s="7598"/>
      <c r="AF194" s="7599"/>
      <c r="AG194" s="7600"/>
      <c r="AH194" s="7601"/>
      <c r="AI194" s="7602"/>
      <c r="AJ194" s="7603"/>
      <c r="AK194" s="7604"/>
      <c r="AL194" s="7605"/>
      <c r="AM194" s="7606"/>
      <c r="AN194" s="7607"/>
      <c r="AO194" s="7608"/>
      <c r="AP194" s="7609"/>
      <c r="AQ194" s="7610"/>
      <c r="AR194" s="7611"/>
      <c r="AS194" s="7612"/>
      <c r="AT194" s="7613"/>
      <c r="AU194" s="7614"/>
      <c r="AV194" s="7615"/>
      <c r="AW194" s="7616"/>
      <c r="AX194" s="7617"/>
      <c r="AY194" s="7618"/>
      <c r="AZ194" s="7619"/>
      <c r="BA194" s="7620"/>
      <c r="BB194" s="7621"/>
      <c r="BC194" s="7622"/>
      <c r="BD194" s="7623"/>
      <c r="BE194" s="7624"/>
      <c r="BF194" s="7625"/>
      <c r="BG194" s="7626"/>
      <c r="BH194" s="7627"/>
      <c r="BI194" s="7628"/>
      <c r="BJ194" s="7629"/>
      <c r="BK194" s="7630"/>
      <c r="BL194" s="7631"/>
      <c r="BM194" s="7632"/>
      <c r="BN194" s="7633"/>
      <c r="BO194" s="7634"/>
      <c r="BP194" s="7635"/>
      <c r="BQ194" s="7636"/>
      <c r="BR194" s="7637"/>
      <c r="BS194" s="7638"/>
      <c r="BT194" s="7639"/>
      <c r="BU194" s="7640"/>
      <c r="BV194" s="7641"/>
      <c r="BW194" s="7642"/>
      <c r="BX194" s="7643"/>
      <c r="BY194" s="7644"/>
      <c r="BZ194" s="7645"/>
      <c r="CA194" s="7646"/>
      <c r="CB194" s="7647"/>
      <c r="CC194" s="7648"/>
      <c r="CD194" s="7649"/>
      <c r="CE194" s="7650"/>
      <c r="CF194" s="7651"/>
      <c r="CG194" s="7652"/>
      <c r="CH194" s="7653"/>
      <c r="CI194" s="7654"/>
      <c r="CJ194" s="7655"/>
      <c r="CK194" s="7656"/>
      <c r="CL194" s="7657"/>
      <c r="CM194" s="7658"/>
      <c r="CN194" s="7659"/>
      <c r="CO194" s="7660"/>
      <c r="CP194" s="7661"/>
      <c r="CQ194" s="7662"/>
      <c r="CR194" s="7663"/>
      <c r="CS194" s="7664"/>
      <c r="CT194" s="7665"/>
      <c r="CU194" s="7666"/>
      <c r="CV194" s="4287" t="s">
        <v>616</v>
      </c>
      <c r="CW194" s="4093"/>
      <c r="CX194" s="4196"/>
      <c r="CY194" s="4196" t="str">
        <f>IF(T194="","",T194)</f>
        <v>Добавить значение признака дифференциации</v>
      </c>
      <c r="CZ194" s="4196"/>
      <c r="DA194" s="4196"/>
      <c r="DB194" s="3858">
        <v>0</v>
      </c>
    </row>
    <row s="7667" customFormat="1" customHeight="1" ht="23.25">
      <c r="A195" s="4183"/>
      <c r="B195" s="4183"/>
      <c r="C195" s="4183"/>
      <c r="D195" s="4183"/>
      <c r="E195" s="4184"/>
      <c r="F195" s="4184"/>
      <c r="G195" s="4184"/>
      <c r="H195" s="4184"/>
      <c r="I195" s="4185"/>
      <c r="J195" s="4186" t="str">
        <f>I190&amp;".2"</f>
        <v>1.8.1.1.2</v>
      </c>
      <c r="K195" s="4183"/>
      <c r="L195" s="4187" t="s">
        <v>538</v>
      </c>
      <c r="M195" s="4188"/>
      <c r="N195" s="4188"/>
      <c r="O195" s="4188"/>
      <c r="P195" s="4189"/>
      <c r="Q195" s="4190" t="s">
        <v>109</v>
      </c>
      <c r="R195" s="4191"/>
      <c r="S195" s="4192" t="str">
        <f>$J195</f>
        <v>1.8.1.1.2</v>
      </c>
      <c r="T195" s="4193" t="s">
        <v>539</v>
      </c>
      <c r="U195" s="4194"/>
      <c r="V195" s="3874"/>
      <c r="W195" s="3875"/>
      <c r="X195" s="3875"/>
      <c r="Y195" s="3875"/>
      <c r="Z195" s="3875"/>
      <c r="AA195" s="3875"/>
      <c r="AB195" s="3876"/>
      <c r="AC195" s="3874" t="s">
        <v>626</v>
      </c>
      <c r="AD195" s="3875"/>
      <c r="AE195" s="3875"/>
      <c r="AF195" s="3875"/>
      <c r="AG195" s="3875"/>
      <c r="AH195" s="3875"/>
      <c r="AI195" s="3875"/>
      <c r="AJ195" s="3874"/>
      <c r="AK195" s="3875"/>
      <c r="AL195" s="3875"/>
      <c r="AM195" s="3875"/>
      <c r="AN195" s="3875"/>
      <c r="AO195" s="3875"/>
      <c r="AP195" s="3876"/>
      <c r="AQ195" s="3874"/>
      <c r="AR195" s="3875"/>
      <c r="AS195" s="3875"/>
      <c r="AT195" s="3875"/>
      <c r="AU195" s="3875"/>
      <c r="AV195" s="3875"/>
      <c r="AW195" s="3876"/>
      <c r="AX195" s="3874"/>
      <c r="AY195" s="3875"/>
      <c r="AZ195" s="3875"/>
      <c r="BA195" s="3875"/>
      <c r="BB195" s="3875"/>
      <c r="BC195" s="3875"/>
      <c r="BD195" s="3876"/>
      <c r="BE195" s="3874"/>
      <c r="BF195" s="3875"/>
      <c r="BG195" s="3875"/>
      <c r="BH195" s="3875"/>
      <c r="BI195" s="3875"/>
      <c r="BJ195" s="3875"/>
      <c r="BK195" s="3876"/>
      <c r="BL195" s="3874"/>
      <c r="BM195" s="3875"/>
      <c r="BN195" s="3875"/>
      <c r="BO195" s="3875"/>
      <c r="BP195" s="3875"/>
      <c r="BQ195" s="3875"/>
      <c r="BR195" s="3876"/>
      <c r="BS195" s="3874"/>
      <c r="BT195" s="3875"/>
      <c r="BU195" s="3875"/>
      <c r="BV195" s="3875"/>
      <c r="BW195" s="3875"/>
      <c r="BX195" s="3875"/>
      <c r="BY195" s="3876"/>
      <c r="BZ195" s="3874"/>
      <c r="CA195" s="3875"/>
      <c r="CB195" s="3875"/>
      <c r="CC195" s="3875"/>
      <c r="CD195" s="3875"/>
      <c r="CE195" s="3875"/>
      <c r="CF195" s="3876"/>
      <c r="CG195" s="3874"/>
      <c r="CH195" s="3875"/>
      <c r="CI195" s="3875"/>
      <c r="CJ195" s="3875"/>
      <c r="CK195" s="3875"/>
      <c r="CL195" s="3875"/>
      <c r="CM195" s="3876"/>
      <c r="CN195" s="3874"/>
      <c r="CO195" s="3875"/>
      <c r="CP195" s="3875"/>
      <c r="CQ195" s="3875"/>
      <c r="CR195" s="3875"/>
      <c r="CS195" s="3875"/>
      <c r="CT195" s="3876"/>
      <c r="CU195" s="3876"/>
      <c r="CV195" s="4195" t="s">
        <v>614</v>
      </c>
      <c r="CW195" s="4093"/>
      <c r="CX195" s="4196"/>
      <c r="CY195" s="4196" t="str">
        <f>IF(T195="","",T195)</f>
        <v>Группа потребителей</v>
      </c>
      <c r="CZ195" s="4196"/>
      <c r="DA195" s="4196"/>
      <c r="DB195" s="3858">
        <v>0</v>
      </c>
    </row>
    <row s="7668" customFormat="1" customHeight="1" ht="23.25">
      <c r="A196" s="4183"/>
      <c r="B196" s="4183"/>
      <c r="C196" s="4183"/>
      <c r="D196" s="4183"/>
      <c r="E196" s="4184"/>
      <c r="F196" s="4184"/>
      <c r="G196" s="4184"/>
      <c r="H196" s="4184"/>
      <c r="I196" s="4185"/>
      <c r="J196" s="4185" t="str">
        <f>I190&amp;".1"</f>
        <v>1.8.1.1.1</v>
      </c>
      <c r="K196" s="4186" t="str">
        <f>J195&amp;".1"</f>
        <v>1.8.1.1.2.1</v>
      </c>
      <c r="L196" s="4187"/>
      <c r="M196" s="4188"/>
      <c r="N196" s="4188"/>
      <c r="O196" s="4188"/>
      <c r="P196" s="4189"/>
      <c r="Q196" s="4189"/>
      <c r="R196" s="4191">
        <v>1</v>
      </c>
      <c r="S196" s="4192" t="str">
        <f>$K196</f>
        <v>1.8.1.1.2.1</v>
      </c>
      <c r="T196" s="4198"/>
      <c r="U196" s="4194"/>
      <c r="V196" s="3878"/>
      <c r="W196" s="3878"/>
      <c r="X196" s="3879"/>
      <c r="Y196" s="3880"/>
      <c r="Z196" s="3881" t="s">
        <v>65</v>
      </c>
      <c r="AA196" s="3880"/>
      <c r="AB196" s="3881" t="s">
        <v>65</v>
      </c>
      <c r="AC196" s="3878">
        <v>44.12</v>
      </c>
      <c r="AD196" s="3878"/>
      <c r="AE196" s="3879"/>
      <c r="AF196" s="3880">
        <v>45292</v>
      </c>
      <c r="AG196" s="3881" t="s">
        <v>65</v>
      </c>
      <c r="AH196" s="4116">
        <v>45473</v>
      </c>
      <c r="AI196" s="3881" t="s">
        <v>65</v>
      </c>
      <c r="AJ196" s="3878">
        <v>45.28</v>
      </c>
      <c r="AK196" s="3878"/>
      <c r="AL196" s="3879"/>
      <c r="AM196" s="3880">
        <v>45474</v>
      </c>
      <c r="AN196" s="3881" t="s">
        <v>65</v>
      </c>
      <c r="AO196" s="3880">
        <v>45657</v>
      </c>
      <c r="AP196" s="3881" t="s">
        <v>65</v>
      </c>
      <c r="AQ196" s="3878">
        <v>45.28</v>
      </c>
      <c r="AR196" s="3878"/>
      <c r="AS196" s="3879"/>
      <c r="AT196" s="3880">
        <v>45658</v>
      </c>
      <c r="AU196" s="3881" t="s">
        <v>65</v>
      </c>
      <c r="AV196" s="3880">
        <v>45838</v>
      </c>
      <c r="AW196" s="3881" t="s">
        <v>65</v>
      </c>
      <c r="AX196" s="3878">
        <v>47.23</v>
      </c>
      <c r="AY196" s="3878"/>
      <c r="AZ196" s="3879"/>
      <c r="BA196" s="3880">
        <v>45839</v>
      </c>
      <c r="BB196" s="3881" t="s">
        <v>65</v>
      </c>
      <c r="BC196" s="3880">
        <v>46022</v>
      </c>
      <c r="BD196" s="3881" t="s">
        <v>65</v>
      </c>
      <c r="BE196" s="3878">
        <v>39.66</v>
      </c>
      <c r="BF196" s="3878"/>
      <c r="BG196" s="3879"/>
      <c r="BH196" s="3880">
        <v>46023</v>
      </c>
      <c r="BI196" s="3881" t="s">
        <v>65</v>
      </c>
      <c r="BJ196" s="3880">
        <v>46203</v>
      </c>
      <c r="BK196" s="3881" t="s">
        <v>65</v>
      </c>
      <c r="BL196" s="3878">
        <v>46</v>
      </c>
      <c r="BM196" s="3878"/>
      <c r="BN196" s="3879"/>
      <c r="BO196" s="3880">
        <v>46204</v>
      </c>
      <c r="BP196" s="3881" t="s">
        <v>65</v>
      </c>
      <c r="BQ196" s="3880">
        <v>46387</v>
      </c>
      <c r="BR196" s="3881" t="s">
        <v>65</v>
      </c>
      <c r="BS196" s="3878">
        <v>46</v>
      </c>
      <c r="BT196" s="3878"/>
      <c r="BU196" s="3879"/>
      <c r="BV196" s="3880">
        <v>46388</v>
      </c>
      <c r="BW196" s="3881" t="s">
        <v>65</v>
      </c>
      <c r="BX196" s="3880">
        <v>46568</v>
      </c>
      <c r="BY196" s="3881" t="s">
        <v>65</v>
      </c>
      <c r="BZ196" s="3878">
        <v>50.94</v>
      </c>
      <c r="CA196" s="3878"/>
      <c r="CB196" s="3879"/>
      <c r="CC196" s="3880">
        <v>46569</v>
      </c>
      <c r="CD196" s="3881" t="s">
        <v>65</v>
      </c>
      <c r="CE196" s="3880">
        <v>46752</v>
      </c>
      <c r="CF196" s="3881" t="s">
        <v>65</v>
      </c>
      <c r="CG196" s="3878">
        <v>50.94</v>
      </c>
      <c r="CH196" s="3878"/>
      <c r="CI196" s="3879"/>
      <c r="CJ196" s="3880">
        <v>46753</v>
      </c>
      <c r="CK196" s="3881" t="s">
        <v>65</v>
      </c>
      <c r="CL196" s="3880">
        <v>46934</v>
      </c>
      <c r="CM196" s="3881" t="s">
        <v>65</v>
      </c>
      <c r="CN196" s="3878">
        <v>60.03</v>
      </c>
      <c r="CO196" s="3878"/>
      <c r="CP196" s="3879"/>
      <c r="CQ196" s="3880">
        <v>46935</v>
      </c>
      <c r="CR196" s="3881" t="s">
        <v>65</v>
      </c>
      <c r="CS196" s="3880">
        <v>47118</v>
      </c>
      <c r="CT196" s="3881" t="s">
        <v>65</v>
      </c>
      <c r="CU196" s="4199"/>
      <c r="CV19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196" s="4093">
        <f>STRCHECKDATE(V197:CU197)</f>
      </c>
      <c r="CX196" s="4196"/>
      <c r="CY196" s="4196" t="str">
        <f>IF(T196="","",T196)</f>
        <v/>
      </c>
      <c r="CZ196" s="4196"/>
      <c r="DA196" s="4196"/>
      <c r="DB196" s="3858">
        <v>0</v>
      </c>
    </row>
    <row s="7669" customFormat="1" customHeight="1" ht="14.25">
      <c r="A197" s="4183"/>
      <c r="B197" s="4183"/>
      <c r="C197" s="4183"/>
      <c r="D197" s="4183"/>
      <c r="E197" s="4184"/>
      <c r="F197" s="4184"/>
      <c r="G197" s="4184"/>
      <c r="H197" s="4184"/>
      <c r="I197" s="4185"/>
      <c r="J197" s="4185" t="str">
        <f>I190&amp;".1"</f>
        <v>1.8.1.1.1</v>
      </c>
      <c r="K197" s="4186"/>
      <c r="L197" s="4187"/>
      <c r="M197" s="4188"/>
      <c r="N197" s="4188"/>
      <c r="O197" s="4188"/>
      <c r="P197" s="4189"/>
      <c r="Q197" s="4189"/>
      <c r="R197" s="4191"/>
      <c r="S197" s="4202"/>
      <c r="T197" s="4194"/>
      <c r="U197" s="4194"/>
      <c r="V197" s="3885"/>
      <c r="W197" s="3885"/>
      <c r="X197" s="3886" t="str">
        <f>Y196&amp;"-"&amp;AA196</f>
        <v>-</v>
      </c>
      <c r="Y197" s="3887"/>
      <c r="Z197" s="3881"/>
      <c r="AA197" s="3887"/>
      <c r="AB197" s="3881"/>
      <c r="AC197" s="3885"/>
      <c r="AD197" s="3885"/>
      <c r="AE197" s="3886" t="str">
        <f>AF196&amp;"-"&amp;AH196</f>
        <v>45292-45473</v>
      </c>
      <c r="AF197" s="3887"/>
      <c r="AG197" s="3881"/>
      <c r="AH197" s="4118"/>
      <c r="AI197" s="3881"/>
      <c r="AJ197" s="3885"/>
      <c r="AK197" s="3885"/>
      <c r="AL197" s="3886" t="str">
        <f>AM196&amp;"-"&amp;AO196</f>
        <v>45474-45657</v>
      </c>
      <c r="AM197" s="3887"/>
      <c r="AN197" s="3881"/>
      <c r="AO197" s="3887"/>
      <c r="AP197" s="3881"/>
      <c r="AQ197" s="3885"/>
      <c r="AR197" s="3885"/>
      <c r="AS197" s="3886" t="str">
        <f>AT196&amp;"-"&amp;AV196</f>
        <v>45658-45838</v>
      </c>
      <c r="AT197" s="3887"/>
      <c r="AU197" s="3881"/>
      <c r="AV197" s="3887"/>
      <c r="AW197" s="3881"/>
      <c r="AX197" s="3885"/>
      <c r="AY197" s="3885"/>
      <c r="AZ197" s="3886" t="str">
        <f>BA196&amp;"-"&amp;BC196</f>
        <v>45839-46022</v>
      </c>
      <c r="BA197" s="3887"/>
      <c r="BB197" s="3881"/>
      <c r="BC197" s="3887"/>
      <c r="BD197" s="3881"/>
      <c r="BE197" s="3885"/>
      <c r="BF197" s="3885"/>
      <c r="BG197" s="3886" t="str">
        <f>BH196&amp;"-"&amp;BJ196</f>
        <v>46023-46203</v>
      </c>
      <c r="BH197" s="3887"/>
      <c r="BI197" s="3881"/>
      <c r="BJ197" s="3887"/>
      <c r="BK197" s="3881"/>
      <c r="BL197" s="3885"/>
      <c r="BM197" s="3885"/>
      <c r="BN197" s="3886" t="str">
        <f>BO196&amp;"-"&amp;BQ196</f>
        <v>46204-46387</v>
      </c>
      <c r="BO197" s="3887"/>
      <c r="BP197" s="3881"/>
      <c r="BQ197" s="3887"/>
      <c r="BR197" s="3881"/>
      <c r="BS197" s="3885"/>
      <c r="BT197" s="3885"/>
      <c r="BU197" s="3886" t="str">
        <f>BV196&amp;"-"&amp;BX196</f>
        <v>46388-46568</v>
      </c>
      <c r="BV197" s="3887"/>
      <c r="BW197" s="3881"/>
      <c r="BX197" s="3887"/>
      <c r="BY197" s="3881"/>
      <c r="BZ197" s="3885"/>
      <c r="CA197" s="3885"/>
      <c r="CB197" s="3886" t="str">
        <f>CC196&amp;"-"&amp;CE196</f>
        <v>46569-46752</v>
      </c>
      <c r="CC197" s="3887"/>
      <c r="CD197" s="3881"/>
      <c r="CE197" s="3887"/>
      <c r="CF197" s="3881"/>
      <c r="CG197" s="3885"/>
      <c r="CH197" s="3885"/>
      <c r="CI197" s="3886" t="str">
        <f>CJ196&amp;"-"&amp;CL196</f>
        <v>46753-46934</v>
      </c>
      <c r="CJ197" s="3887"/>
      <c r="CK197" s="3881"/>
      <c r="CL197" s="3887"/>
      <c r="CM197" s="3881"/>
      <c r="CN197" s="3885"/>
      <c r="CO197" s="3885"/>
      <c r="CP197" s="3886" t="str">
        <f>CQ196&amp;"-"&amp;CS196</f>
        <v>46935-47118</v>
      </c>
      <c r="CQ197" s="3887"/>
      <c r="CR197" s="3881"/>
      <c r="CS197" s="3887"/>
      <c r="CT197" s="3881"/>
      <c r="CU197" s="4203"/>
      <c r="CV197" s="4200"/>
      <c r="CW197" s="4093"/>
      <c r="CX197" s="4196"/>
      <c r="CY197" s="4196" t="str">
        <f>IF(T197="","",T197)</f>
        <v/>
      </c>
      <c r="CZ197" s="4196"/>
      <c r="DA197" s="4196"/>
      <c r="DB197" s="3858">
        <v>0</v>
      </c>
    </row>
    <row s="7670" customFormat="1" customHeight="1" ht="21">
      <c r="A198" s="4183"/>
      <c r="B198" s="4183"/>
      <c r="C198" s="4183"/>
      <c r="D198" s="4183"/>
      <c r="E198" s="4184"/>
      <c r="F198" s="4184"/>
      <c r="G198" s="4184"/>
      <c r="H198" s="4184"/>
      <c r="I198" s="4185"/>
      <c r="J198" s="4186" t="str">
        <f>I190&amp;".1"</f>
        <v>1.8.1.1.1</v>
      </c>
      <c r="K198" s="4183"/>
      <c r="L198" s="4187"/>
      <c r="M198" s="4188"/>
      <c r="N198" s="4188"/>
      <c r="O198" s="4188"/>
      <c r="P198" s="4189"/>
      <c r="Q198" s="4189"/>
      <c r="R198" s="4205"/>
      <c r="S198" s="7671"/>
      <c r="T198" s="7672" t="s">
        <v>615</v>
      </c>
      <c r="U198" s="7673"/>
      <c r="V198" s="7674"/>
      <c r="W198" s="7675"/>
      <c r="X198" s="7676"/>
      <c r="Y198" s="7677"/>
      <c r="Z198" s="7678"/>
      <c r="AA198" s="7679"/>
      <c r="AB198" s="7680"/>
      <c r="AC198" s="7681"/>
      <c r="AD198" s="7682"/>
      <c r="AE198" s="7683"/>
      <c r="AF198" s="7684"/>
      <c r="AG198" s="7685"/>
      <c r="AH198" s="7686"/>
      <c r="AI198" s="7687"/>
      <c r="AJ198" s="7688"/>
      <c r="AK198" s="7689"/>
      <c r="AL198" s="7690"/>
      <c r="AM198" s="7691"/>
      <c r="AN198" s="7692"/>
      <c r="AO198" s="7693"/>
      <c r="AP198" s="7694"/>
      <c r="AQ198" s="7695"/>
      <c r="AR198" s="7696"/>
      <c r="AS198" s="7697"/>
      <c r="AT198" s="7698"/>
      <c r="AU198" s="7699"/>
      <c r="AV198" s="7700"/>
      <c r="AW198" s="7701"/>
      <c r="AX198" s="7702"/>
      <c r="AY198" s="7703"/>
      <c r="AZ198" s="7704"/>
      <c r="BA198" s="7705"/>
      <c r="BB198" s="7706"/>
      <c r="BC198" s="7707"/>
      <c r="BD198" s="7708"/>
      <c r="BE198" s="7709"/>
      <c r="BF198" s="7710"/>
      <c r="BG198" s="7711"/>
      <c r="BH198" s="7712"/>
      <c r="BI198" s="7713"/>
      <c r="BJ198" s="7714"/>
      <c r="BK198" s="7715"/>
      <c r="BL198" s="7716"/>
      <c r="BM198" s="7717"/>
      <c r="BN198" s="7718"/>
      <c r="BO198" s="7719"/>
      <c r="BP198" s="7720"/>
      <c r="BQ198" s="7721"/>
      <c r="BR198" s="7722"/>
      <c r="BS198" s="7723"/>
      <c r="BT198" s="7724"/>
      <c r="BU198" s="7725"/>
      <c r="BV198" s="7726"/>
      <c r="BW198" s="7727"/>
      <c r="BX198" s="7728"/>
      <c r="BY198" s="7729"/>
      <c r="BZ198" s="7730"/>
      <c r="CA198" s="7731"/>
      <c r="CB198" s="7732"/>
      <c r="CC198" s="7733"/>
      <c r="CD198" s="7734"/>
      <c r="CE198" s="7735"/>
      <c r="CF198" s="7736"/>
      <c r="CG198" s="7737"/>
      <c r="CH198" s="7738"/>
      <c r="CI198" s="7739"/>
      <c r="CJ198" s="7740"/>
      <c r="CK198" s="7741"/>
      <c r="CL198" s="7742"/>
      <c r="CM198" s="7743"/>
      <c r="CN198" s="7744"/>
      <c r="CO198" s="7745"/>
      <c r="CP198" s="7746"/>
      <c r="CQ198" s="7747"/>
      <c r="CR198" s="7748"/>
      <c r="CS198" s="7749"/>
      <c r="CT198" s="7750"/>
      <c r="CU198" s="7751"/>
      <c r="CV198" s="4287" t="s">
        <v>616</v>
      </c>
      <c r="CW198" s="4093"/>
      <c r="CX198" s="4196"/>
      <c r="CY198" s="4196" t="str">
        <f>IF(T198="","",T198)</f>
        <v>Добавить значение признака дифференциации</v>
      </c>
      <c r="CZ198" s="4196"/>
      <c r="DA198" s="4196"/>
      <c r="DB198" s="3858">
        <v>0</v>
      </c>
    </row>
    <row s="7752" customFormat="1" customHeight="1" ht="23.25">
      <c r="A199" s="4183"/>
      <c r="B199" s="4183"/>
      <c r="C199" s="4183"/>
      <c r="D199" s="4183"/>
      <c r="E199" s="4184"/>
      <c r="F199" s="4184"/>
      <c r="G199" s="4184"/>
      <c r="H199" s="4184"/>
      <c r="I199" s="4185"/>
      <c r="J199" s="4186" t="str">
        <f>I190&amp;".3"</f>
        <v>1.8.1.1.3</v>
      </c>
      <c r="K199" s="4183"/>
      <c r="L199" s="4187" t="s">
        <v>538</v>
      </c>
      <c r="M199" s="4188"/>
      <c r="N199" s="4188"/>
      <c r="O199" s="4188"/>
      <c r="P199" s="4189"/>
      <c r="Q199" s="4190" t="s">
        <v>109</v>
      </c>
      <c r="R199" s="4191"/>
      <c r="S199" s="4192" t="str">
        <f>$J199</f>
        <v>1.8.1.1.3</v>
      </c>
      <c r="T199" s="4193" t="s">
        <v>539</v>
      </c>
      <c r="U199" s="4194"/>
      <c r="V199" s="3874"/>
      <c r="W199" s="3875"/>
      <c r="X199" s="3875"/>
      <c r="Y199" s="3875"/>
      <c r="Z199" s="3875"/>
      <c r="AA199" s="3875"/>
      <c r="AB199" s="3876"/>
      <c r="AC199" s="3874" t="s">
        <v>627</v>
      </c>
      <c r="AD199" s="3875"/>
      <c r="AE199" s="3875"/>
      <c r="AF199" s="3875"/>
      <c r="AG199" s="3875"/>
      <c r="AH199" s="3875"/>
      <c r="AI199" s="3875"/>
      <c r="AJ199" s="3874"/>
      <c r="AK199" s="3875"/>
      <c r="AL199" s="3875"/>
      <c r="AM199" s="3875"/>
      <c r="AN199" s="3875"/>
      <c r="AO199" s="3875"/>
      <c r="AP199" s="3876"/>
      <c r="AQ199" s="3874"/>
      <c r="AR199" s="3875"/>
      <c r="AS199" s="3875"/>
      <c r="AT199" s="3875"/>
      <c r="AU199" s="3875"/>
      <c r="AV199" s="3875"/>
      <c r="AW199" s="3876"/>
      <c r="AX199" s="3874"/>
      <c r="AY199" s="3875"/>
      <c r="AZ199" s="3875"/>
      <c r="BA199" s="3875"/>
      <c r="BB199" s="3875"/>
      <c r="BC199" s="3875"/>
      <c r="BD199" s="3876"/>
      <c r="BE199" s="3874"/>
      <c r="BF199" s="3875"/>
      <c r="BG199" s="3875"/>
      <c r="BH199" s="3875"/>
      <c r="BI199" s="3875"/>
      <c r="BJ199" s="3875"/>
      <c r="BK199" s="3876"/>
      <c r="BL199" s="3874"/>
      <c r="BM199" s="3875"/>
      <c r="BN199" s="3875"/>
      <c r="BO199" s="3875"/>
      <c r="BP199" s="3875"/>
      <c r="BQ199" s="3875"/>
      <c r="BR199" s="3876"/>
      <c r="BS199" s="3874"/>
      <c r="BT199" s="3875"/>
      <c r="BU199" s="3875"/>
      <c r="BV199" s="3875"/>
      <c r="BW199" s="3875"/>
      <c r="BX199" s="3875"/>
      <c r="BY199" s="3876"/>
      <c r="BZ199" s="3874"/>
      <c r="CA199" s="3875"/>
      <c r="CB199" s="3875"/>
      <c r="CC199" s="3875"/>
      <c r="CD199" s="3875"/>
      <c r="CE199" s="3875"/>
      <c r="CF199" s="3876"/>
      <c r="CG199" s="3874"/>
      <c r="CH199" s="3875"/>
      <c r="CI199" s="3875"/>
      <c r="CJ199" s="3875"/>
      <c r="CK199" s="3875"/>
      <c r="CL199" s="3875"/>
      <c r="CM199" s="3876"/>
      <c r="CN199" s="3874"/>
      <c r="CO199" s="3875"/>
      <c r="CP199" s="3875"/>
      <c r="CQ199" s="3875"/>
      <c r="CR199" s="3875"/>
      <c r="CS199" s="3875"/>
      <c r="CT199" s="3876"/>
      <c r="CU199" s="3876"/>
      <c r="CV199" s="4195" t="s">
        <v>614</v>
      </c>
      <c r="CW199" s="4093"/>
      <c r="CX199" s="4196"/>
      <c r="CY199" s="4196" t="str">
        <f>IF(T199="","",T199)</f>
        <v>Группа потребителей</v>
      </c>
      <c r="CZ199" s="4196"/>
      <c r="DA199" s="4196"/>
      <c r="DB199" s="3858">
        <v>0</v>
      </c>
    </row>
    <row s="7753" customFormat="1" customHeight="1" ht="23.25">
      <c r="A200" s="4183"/>
      <c r="B200" s="4183"/>
      <c r="C200" s="4183"/>
      <c r="D200" s="4183"/>
      <c r="E200" s="4184"/>
      <c r="F200" s="4184"/>
      <c r="G200" s="4184"/>
      <c r="H200" s="4184"/>
      <c r="I200" s="4185"/>
      <c r="J200" s="4185" t="str">
        <f>I190&amp;".2"</f>
        <v>1.8.1.1.2</v>
      </c>
      <c r="K200" s="4186" t="str">
        <f>J199&amp;".1"</f>
        <v>1.8.1.1.3.1</v>
      </c>
      <c r="L200" s="4187"/>
      <c r="M200" s="4188"/>
      <c r="N200" s="4188"/>
      <c r="O200" s="4188"/>
      <c r="P200" s="4189"/>
      <c r="Q200" s="4189"/>
      <c r="R200" s="4191">
        <v>1</v>
      </c>
      <c r="S200" s="4192" t="str">
        <f>$K200</f>
        <v>1.8.1.1.3.1</v>
      </c>
      <c r="T200" s="4198"/>
      <c r="U200" s="4194"/>
      <c r="V200" s="3878"/>
      <c r="W200" s="3878"/>
      <c r="X200" s="3879"/>
      <c r="Y200" s="3880"/>
      <c r="Z200" s="3881" t="s">
        <v>65</v>
      </c>
      <c r="AA200" s="3880"/>
      <c r="AB200" s="3881" t="s">
        <v>65</v>
      </c>
      <c r="AC200" s="3878">
        <v>44.12</v>
      </c>
      <c r="AD200" s="3878"/>
      <c r="AE200" s="3879"/>
      <c r="AF200" s="3880">
        <v>45292</v>
      </c>
      <c r="AG200" s="3881" t="s">
        <v>65</v>
      </c>
      <c r="AH200" s="4116">
        <v>45473</v>
      </c>
      <c r="AI200" s="3881" t="s">
        <v>65</v>
      </c>
      <c r="AJ200" s="3878">
        <v>45.28</v>
      </c>
      <c r="AK200" s="3878"/>
      <c r="AL200" s="3879"/>
      <c r="AM200" s="3880">
        <v>45474</v>
      </c>
      <c r="AN200" s="3881" t="s">
        <v>65</v>
      </c>
      <c r="AO200" s="3880">
        <v>45657</v>
      </c>
      <c r="AP200" s="3881" t="s">
        <v>65</v>
      </c>
      <c r="AQ200" s="3878">
        <v>45.28</v>
      </c>
      <c r="AR200" s="3878"/>
      <c r="AS200" s="3879"/>
      <c r="AT200" s="3880">
        <v>45658</v>
      </c>
      <c r="AU200" s="3881" t="s">
        <v>65</v>
      </c>
      <c r="AV200" s="3880">
        <v>45838</v>
      </c>
      <c r="AW200" s="3881" t="s">
        <v>65</v>
      </c>
      <c r="AX200" s="3878">
        <v>47.23</v>
      </c>
      <c r="AY200" s="3878"/>
      <c r="AZ200" s="3879"/>
      <c r="BA200" s="3880">
        <v>45839</v>
      </c>
      <c r="BB200" s="3881" t="s">
        <v>65</v>
      </c>
      <c r="BC200" s="3880">
        <v>46022</v>
      </c>
      <c r="BD200" s="3881" t="s">
        <v>65</v>
      </c>
      <c r="BE200" s="3878">
        <v>39.66</v>
      </c>
      <c r="BF200" s="3878"/>
      <c r="BG200" s="3879"/>
      <c r="BH200" s="3880">
        <v>46023</v>
      </c>
      <c r="BI200" s="3881" t="s">
        <v>65</v>
      </c>
      <c r="BJ200" s="3880">
        <v>46203</v>
      </c>
      <c r="BK200" s="3881" t="s">
        <v>65</v>
      </c>
      <c r="BL200" s="3878">
        <v>46</v>
      </c>
      <c r="BM200" s="3878"/>
      <c r="BN200" s="3879"/>
      <c r="BO200" s="3880">
        <v>46204</v>
      </c>
      <c r="BP200" s="3881" t="s">
        <v>65</v>
      </c>
      <c r="BQ200" s="3880">
        <v>46387</v>
      </c>
      <c r="BR200" s="3881" t="s">
        <v>65</v>
      </c>
      <c r="BS200" s="3878">
        <v>46</v>
      </c>
      <c r="BT200" s="3878"/>
      <c r="BU200" s="3879"/>
      <c r="BV200" s="3880">
        <v>46388</v>
      </c>
      <c r="BW200" s="3881" t="s">
        <v>65</v>
      </c>
      <c r="BX200" s="3880">
        <v>46568</v>
      </c>
      <c r="BY200" s="3881" t="s">
        <v>65</v>
      </c>
      <c r="BZ200" s="3878">
        <v>50.94</v>
      </c>
      <c r="CA200" s="3878"/>
      <c r="CB200" s="3879"/>
      <c r="CC200" s="3880">
        <v>46569</v>
      </c>
      <c r="CD200" s="3881" t="s">
        <v>65</v>
      </c>
      <c r="CE200" s="3880">
        <v>46752</v>
      </c>
      <c r="CF200" s="3881" t="s">
        <v>65</v>
      </c>
      <c r="CG200" s="3878">
        <v>50.94</v>
      </c>
      <c r="CH200" s="3878"/>
      <c r="CI200" s="3879"/>
      <c r="CJ200" s="3880">
        <v>46753</v>
      </c>
      <c r="CK200" s="3881" t="s">
        <v>65</v>
      </c>
      <c r="CL200" s="3880">
        <v>46934</v>
      </c>
      <c r="CM200" s="3881" t="s">
        <v>65</v>
      </c>
      <c r="CN200" s="3878">
        <v>60.03</v>
      </c>
      <c r="CO200" s="3878"/>
      <c r="CP200" s="3879"/>
      <c r="CQ200" s="3880">
        <v>46935</v>
      </c>
      <c r="CR200" s="3881" t="s">
        <v>65</v>
      </c>
      <c r="CS200" s="3880">
        <v>47118</v>
      </c>
      <c r="CT200" s="3881" t="s">
        <v>65</v>
      </c>
      <c r="CU200" s="4199"/>
      <c r="CV20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00" s="4093">
        <f>STRCHECKDATE(V201:CU201)</f>
      </c>
      <c r="CX200" s="4196"/>
      <c r="CY200" s="4196" t="str">
        <f>IF(T200="","",T200)</f>
        <v/>
      </c>
      <c r="CZ200" s="4196"/>
      <c r="DA200" s="4196"/>
      <c r="DB200" s="3858">
        <v>0</v>
      </c>
    </row>
    <row s="7754" customFormat="1" customHeight="1" ht="14.25">
      <c r="A201" s="4183"/>
      <c r="B201" s="4183"/>
      <c r="C201" s="4183"/>
      <c r="D201" s="4183"/>
      <c r="E201" s="4184"/>
      <c r="F201" s="4184"/>
      <c r="G201" s="4184"/>
      <c r="H201" s="4184"/>
      <c r="I201" s="4185"/>
      <c r="J201" s="4185" t="str">
        <f>I190&amp;".2"</f>
        <v>1.8.1.1.2</v>
      </c>
      <c r="K201" s="4186"/>
      <c r="L201" s="4187"/>
      <c r="M201" s="4188"/>
      <c r="N201" s="4188"/>
      <c r="O201" s="4188"/>
      <c r="P201" s="4189"/>
      <c r="Q201" s="4189"/>
      <c r="R201" s="4191"/>
      <c r="S201" s="4202"/>
      <c r="T201" s="4194"/>
      <c r="U201" s="4194"/>
      <c r="V201" s="3885"/>
      <c r="W201" s="3885"/>
      <c r="X201" s="3886" t="str">
        <f>Y200&amp;"-"&amp;AA200</f>
        <v>-</v>
      </c>
      <c r="Y201" s="3887"/>
      <c r="Z201" s="3881"/>
      <c r="AA201" s="3887"/>
      <c r="AB201" s="3881"/>
      <c r="AC201" s="3885"/>
      <c r="AD201" s="3885"/>
      <c r="AE201" s="3886" t="str">
        <f>AF200&amp;"-"&amp;AH200</f>
        <v>45292-45473</v>
      </c>
      <c r="AF201" s="3887"/>
      <c r="AG201" s="3881"/>
      <c r="AH201" s="4118"/>
      <c r="AI201" s="3881"/>
      <c r="AJ201" s="3885"/>
      <c r="AK201" s="3885"/>
      <c r="AL201" s="3886" t="str">
        <f>AM200&amp;"-"&amp;AO200</f>
        <v>45474-45657</v>
      </c>
      <c r="AM201" s="3887"/>
      <c r="AN201" s="3881"/>
      <c r="AO201" s="3887"/>
      <c r="AP201" s="3881"/>
      <c r="AQ201" s="3885"/>
      <c r="AR201" s="3885"/>
      <c r="AS201" s="3886" t="str">
        <f>AT200&amp;"-"&amp;AV200</f>
        <v>45658-45838</v>
      </c>
      <c r="AT201" s="3887"/>
      <c r="AU201" s="3881"/>
      <c r="AV201" s="3887"/>
      <c r="AW201" s="3881"/>
      <c r="AX201" s="3885"/>
      <c r="AY201" s="3885"/>
      <c r="AZ201" s="3886" t="str">
        <f>BA200&amp;"-"&amp;BC200</f>
        <v>45839-46022</v>
      </c>
      <c r="BA201" s="3887"/>
      <c r="BB201" s="3881"/>
      <c r="BC201" s="3887"/>
      <c r="BD201" s="3881"/>
      <c r="BE201" s="3885"/>
      <c r="BF201" s="3885"/>
      <c r="BG201" s="3886" t="str">
        <f>BH200&amp;"-"&amp;BJ200</f>
        <v>46023-46203</v>
      </c>
      <c r="BH201" s="3887"/>
      <c r="BI201" s="3881"/>
      <c r="BJ201" s="3887"/>
      <c r="BK201" s="3881"/>
      <c r="BL201" s="3885"/>
      <c r="BM201" s="3885"/>
      <c r="BN201" s="3886" t="str">
        <f>BO200&amp;"-"&amp;BQ200</f>
        <v>46204-46387</v>
      </c>
      <c r="BO201" s="3887"/>
      <c r="BP201" s="3881"/>
      <c r="BQ201" s="3887"/>
      <c r="BR201" s="3881"/>
      <c r="BS201" s="3885"/>
      <c r="BT201" s="3885"/>
      <c r="BU201" s="3886" t="str">
        <f>BV200&amp;"-"&amp;BX200</f>
        <v>46388-46568</v>
      </c>
      <c r="BV201" s="3887"/>
      <c r="BW201" s="3881"/>
      <c r="BX201" s="3887"/>
      <c r="BY201" s="3881"/>
      <c r="BZ201" s="3885"/>
      <c r="CA201" s="3885"/>
      <c r="CB201" s="3886" t="str">
        <f>CC200&amp;"-"&amp;CE200</f>
        <v>46569-46752</v>
      </c>
      <c r="CC201" s="3887"/>
      <c r="CD201" s="3881"/>
      <c r="CE201" s="3887"/>
      <c r="CF201" s="3881"/>
      <c r="CG201" s="3885"/>
      <c r="CH201" s="3885"/>
      <c r="CI201" s="3886" t="str">
        <f>CJ200&amp;"-"&amp;CL200</f>
        <v>46753-46934</v>
      </c>
      <c r="CJ201" s="3887"/>
      <c r="CK201" s="3881"/>
      <c r="CL201" s="3887"/>
      <c r="CM201" s="3881"/>
      <c r="CN201" s="3885"/>
      <c r="CO201" s="3885"/>
      <c r="CP201" s="3886" t="str">
        <f>CQ200&amp;"-"&amp;CS200</f>
        <v>46935-47118</v>
      </c>
      <c r="CQ201" s="3887"/>
      <c r="CR201" s="3881"/>
      <c r="CS201" s="3887"/>
      <c r="CT201" s="3881"/>
      <c r="CU201" s="4203"/>
      <c r="CV201" s="4200"/>
      <c r="CW201" s="4093"/>
      <c r="CX201" s="4196"/>
      <c r="CY201" s="4196" t="str">
        <f>IF(T201="","",T201)</f>
        <v/>
      </c>
      <c r="CZ201" s="4196"/>
      <c r="DA201" s="4196"/>
      <c r="DB201" s="3858">
        <v>0</v>
      </c>
    </row>
    <row s="7755" customFormat="1" customHeight="1" ht="21">
      <c r="A202" s="4183"/>
      <c r="B202" s="4183"/>
      <c r="C202" s="4183"/>
      <c r="D202" s="4183"/>
      <c r="E202" s="4184"/>
      <c r="F202" s="4184"/>
      <c r="G202" s="4184"/>
      <c r="H202" s="4184"/>
      <c r="I202" s="4185"/>
      <c r="J202" s="4186" t="str">
        <f>I190&amp;".2"</f>
        <v>1.8.1.1.2</v>
      </c>
      <c r="K202" s="4183"/>
      <c r="L202" s="4187"/>
      <c r="M202" s="4188"/>
      <c r="N202" s="4188"/>
      <c r="O202" s="4188"/>
      <c r="P202" s="4189"/>
      <c r="Q202" s="4189"/>
      <c r="R202" s="4205"/>
      <c r="S202" s="7756"/>
      <c r="T202" s="7757" t="s">
        <v>615</v>
      </c>
      <c r="U202" s="7758"/>
      <c r="V202" s="7759"/>
      <c r="W202" s="7760"/>
      <c r="X202" s="7761"/>
      <c r="Y202" s="7762"/>
      <c r="Z202" s="7763"/>
      <c r="AA202" s="7764"/>
      <c r="AB202" s="7765"/>
      <c r="AC202" s="7766"/>
      <c r="AD202" s="7767"/>
      <c r="AE202" s="7768"/>
      <c r="AF202" s="7769"/>
      <c r="AG202" s="7770"/>
      <c r="AH202" s="7771"/>
      <c r="AI202" s="7772"/>
      <c r="AJ202" s="7773"/>
      <c r="AK202" s="7774"/>
      <c r="AL202" s="7775"/>
      <c r="AM202" s="7776"/>
      <c r="AN202" s="7777"/>
      <c r="AO202" s="7778"/>
      <c r="AP202" s="7779"/>
      <c r="AQ202" s="7780"/>
      <c r="AR202" s="7781"/>
      <c r="AS202" s="7782"/>
      <c r="AT202" s="7783"/>
      <c r="AU202" s="7784"/>
      <c r="AV202" s="7785"/>
      <c r="AW202" s="7786"/>
      <c r="AX202" s="7787"/>
      <c r="AY202" s="7788"/>
      <c r="AZ202" s="7789"/>
      <c r="BA202" s="7790"/>
      <c r="BB202" s="7791"/>
      <c r="BC202" s="7792"/>
      <c r="BD202" s="7793"/>
      <c r="BE202" s="7794"/>
      <c r="BF202" s="7795"/>
      <c r="BG202" s="7796"/>
      <c r="BH202" s="7797"/>
      <c r="BI202" s="7798"/>
      <c r="BJ202" s="7799"/>
      <c r="BK202" s="7800"/>
      <c r="BL202" s="7801"/>
      <c r="BM202" s="7802"/>
      <c r="BN202" s="7803"/>
      <c r="BO202" s="7804"/>
      <c r="BP202" s="7805"/>
      <c r="BQ202" s="7806"/>
      <c r="BR202" s="7807"/>
      <c r="BS202" s="7808"/>
      <c r="BT202" s="7809"/>
      <c r="BU202" s="7810"/>
      <c r="BV202" s="7811"/>
      <c r="BW202" s="7812"/>
      <c r="BX202" s="7813"/>
      <c r="BY202" s="7814"/>
      <c r="BZ202" s="7815"/>
      <c r="CA202" s="7816"/>
      <c r="CB202" s="7817"/>
      <c r="CC202" s="7818"/>
      <c r="CD202" s="7819"/>
      <c r="CE202" s="7820"/>
      <c r="CF202" s="7821"/>
      <c r="CG202" s="7822"/>
      <c r="CH202" s="7823"/>
      <c r="CI202" s="7824"/>
      <c r="CJ202" s="7825"/>
      <c r="CK202" s="7826"/>
      <c r="CL202" s="7827"/>
      <c r="CM202" s="7828"/>
      <c r="CN202" s="7829"/>
      <c r="CO202" s="7830"/>
      <c r="CP202" s="7831"/>
      <c r="CQ202" s="7832"/>
      <c r="CR202" s="7833"/>
      <c r="CS202" s="7834"/>
      <c r="CT202" s="7835"/>
      <c r="CU202" s="7836"/>
      <c r="CV202" s="4287" t="s">
        <v>616</v>
      </c>
      <c r="CW202" s="4093"/>
      <c r="CX202" s="4196"/>
      <c r="CY202" s="4196" t="str">
        <f>IF(T202="","",T202)</f>
        <v>Добавить значение признака дифференциации</v>
      </c>
      <c r="CZ202" s="4196"/>
      <c r="DA202" s="4196"/>
      <c r="DB202" s="3858">
        <v>0</v>
      </c>
    </row>
    <row s="7837" customFormat="1" customHeight="1" ht="21">
      <c r="A203" s="4183"/>
      <c r="B203" s="4183"/>
      <c r="C203" s="4183"/>
      <c r="D203" s="4183"/>
      <c r="E203" s="4184"/>
      <c r="F203" s="4184" t="s">
        <v>97</v>
      </c>
      <c r="G203" s="4184"/>
      <c r="H203" s="4184"/>
      <c r="I203" s="4186"/>
      <c r="J203" s="4183"/>
      <c r="K203" s="4183"/>
      <c r="L203" s="4187"/>
      <c r="M203" s="4188"/>
      <c r="N203" s="4188"/>
      <c r="O203" s="4188"/>
      <c r="P203" s="4189"/>
      <c r="Q203" s="4189"/>
      <c r="R203" s="4205"/>
      <c r="S203" s="7838"/>
      <c r="T203" s="7839" t="s">
        <v>544</v>
      </c>
      <c r="U203" s="7840"/>
      <c r="V203" s="7841"/>
      <c r="W203" s="7842"/>
      <c r="X203" s="7843"/>
      <c r="Y203" s="7844"/>
      <c r="Z203" s="7845"/>
      <c r="AA203" s="7846"/>
      <c r="AB203" s="7847"/>
      <c r="AC203" s="7848"/>
      <c r="AD203" s="7849"/>
      <c r="AE203" s="7850"/>
      <c r="AF203" s="7851"/>
      <c r="AG203" s="7852"/>
      <c r="AH203" s="7853"/>
      <c r="AI203" s="7854"/>
      <c r="AJ203" s="7855"/>
      <c r="AK203" s="7856"/>
      <c r="AL203" s="7857"/>
      <c r="AM203" s="7858"/>
      <c r="AN203" s="7859"/>
      <c r="AO203" s="7860"/>
      <c r="AP203" s="7861"/>
      <c r="AQ203" s="7862"/>
      <c r="AR203" s="7863"/>
      <c r="AS203" s="7864"/>
      <c r="AT203" s="7865"/>
      <c r="AU203" s="7866"/>
      <c r="AV203" s="7867"/>
      <c r="AW203" s="7868"/>
      <c r="AX203" s="7869"/>
      <c r="AY203" s="7870"/>
      <c r="AZ203" s="7871"/>
      <c r="BA203" s="7872"/>
      <c r="BB203" s="7873"/>
      <c r="BC203" s="7874"/>
      <c r="BD203" s="7875"/>
      <c r="BE203" s="7876"/>
      <c r="BF203" s="7877"/>
      <c r="BG203" s="7878"/>
      <c r="BH203" s="7879"/>
      <c r="BI203" s="7880"/>
      <c r="BJ203" s="7881"/>
      <c r="BK203" s="7882"/>
      <c r="BL203" s="7883"/>
      <c r="BM203" s="7884"/>
      <c r="BN203" s="7885"/>
      <c r="BO203" s="7886"/>
      <c r="BP203" s="7887"/>
      <c r="BQ203" s="7888"/>
      <c r="BR203" s="7889"/>
      <c r="BS203" s="7890"/>
      <c r="BT203" s="7891"/>
      <c r="BU203" s="7892"/>
      <c r="BV203" s="7893"/>
      <c r="BW203" s="7894"/>
      <c r="BX203" s="7895"/>
      <c r="BY203" s="7896"/>
      <c r="BZ203" s="7897"/>
      <c r="CA203" s="7898"/>
      <c r="CB203" s="7899"/>
      <c r="CC203" s="7900"/>
      <c r="CD203" s="7901"/>
      <c r="CE203" s="7902"/>
      <c r="CF203" s="7903"/>
      <c r="CG203" s="7904"/>
      <c r="CH203" s="7905"/>
      <c r="CI203" s="7906"/>
      <c r="CJ203" s="7907"/>
      <c r="CK203" s="7908"/>
      <c r="CL203" s="7909"/>
      <c r="CM203" s="7910"/>
      <c r="CN203" s="7911"/>
      <c r="CO203" s="7912"/>
      <c r="CP203" s="7913"/>
      <c r="CQ203" s="7914"/>
      <c r="CR203" s="7915"/>
      <c r="CS203" s="7916"/>
      <c r="CT203" s="7917"/>
      <c r="CU203" s="7918"/>
      <c r="CV203" s="7919"/>
      <c r="CW203" s="4093"/>
      <c r="CX203" s="4196"/>
      <c r="CY203" s="4196" t="str">
        <f>IF(T203="","",T203)</f>
        <v>Добавить группу потребителей</v>
      </c>
      <c r="CZ203" s="4196"/>
      <c r="DA203" s="4196"/>
      <c r="DB203" s="3858">
        <v>0</v>
      </c>
    </row>
    <row s="7920" customFormat="1" customHeight="1" ht="14.25">
      <c r="A204" s="4183"/>
      <c r="B204" s="4183"/>
      <c r="C204" s="4183"/>
      <c r="D204" s="4183"/>
      <c r="E204" s="4184"/>
      <c r="F204" s="4184" t="s">
        <v>97</v>
      </c>
      <c r="G204" s="4184"/>
      <c r="H204" s="4500"/>
      <c r="I204" s="4183"/>
      <c r="J204" s="4183"/>
      <c r="K204" s="4183"/>
      <c r="L204" s="4187"/>
      <c r="M204" s="4501"/>
      <c r="N204" s="4501"/>
      <c r="O204" s="4083"/>
      <c r="P204" s="4853"/>
      <c r="Q204" s="4854"/>
      <c r="R204" s="4855"/>
      <c r="S204" s="7921"/>
      <c r="T204" s="7922" t="s">
        <v>617</v>
      </c>
      <c r="U204" s="7923"/>
      <c r="V204" s="7924"/>
      <c r="W204" s="7925"/>
      <c r="X204" s="7926"/>
      <c r="Y204" s="7927"/>
      <c r="Z204" s="7928"/>
      <c r="AA204" s="7929"/>
      <c r="AB204" s="7930"/>
      <c r="AC204" s="7931"/>
      <c r="AD204" s="7932"/>
      <c r="AE204" s="7933"/>
      <c r="AF204" s="7934"/>
      <c r="AG204" s="7935"/>
      <c r="AH204" s="7936"/>
      <c r="AI204" s="7937"/>
      <c r="AJ204" s="7938"/>
      <c r="AK204" s="7939"/>
      <c r="AL204" s="7940"/>
      <c r="AM204" s="7941"/>
      <c r="AN204" s="7942"/>
      <c r="AO204" s="7943"/>
      <c r="AP204" s="7944"/>
      <c r="AQ204" s="7945"/>
      <c r="AR204" s="7946"/>
      <c r="AS204" s="7947"/>
      <c r="AT204" s="7948"/>
      <c r="AU204" s="7949"/>
      <c r="AV204" s="7950"/>
      <c r="AW204" s="7951"/>
      <c r="AX204" s="7952"/>
      <c r="AY204" s="7953"/>
      <c r="AZ204" s="7954"/>
      <c r="BA204" s="7955"/>
      <c r="BB204" s="7956"/>
      <c r="BC204" s="7957"/>
      <c r="BD204" s="7958"/>
      <c r="BE204" s="7959"/>
      <c r="BF204" s="7960"/>
      <c r="BG204" s="7961"/>
      <c r="BH204" s="7962"/>
      <c r="BI204" s="7963"/>
      <c r="BJ204" s="7964"/>
      <c r="BK204" s="7965"/>
      <c r="BL204" s="7966"/>
      <c r="BM204" s="7967"/>
      <c r="BN204" s="7968"/>
      <c r="BO204" s="7969"/>
      <c r="BP204" s="7970"/>
      <c r="BQ204" s="7971"/>
      <c r="BR204" s="7972"/>
      <c r="BS204" s="7973"/>
      <c r="BT204" s="7974"/>
      <c r="BU204" s="7975"/>
      <c r="BV204" s="7976"/>
      <c r="BW204" s="7977"/>
      <c r="BX204" s="7978"/>
      <c r="BY204" s="7979"/>
      <c r="BZ204" s="7980"/>
      <c r="CA204" s="7981"/>
      <c r="CB204" s="7982"/>
      <c r="CC204" s="7983"/>
      <c r="CD204" s="7984"/>
      <c r="CE204" s="7985"/>
      <c r="CF204" s="7986"/>
      <c r="CG204" s="7987"/>
      <c r="CH204" s="7988"/>
      <c r="CI204" s="7989"/>
      <c r="CJ204" s="7990"/>
      <c r="CK204" s="7991"/>
      <c r="CL204" s="7992"/>
      <c r="CM204" s="7993"/>
      <c r="CN204" s="7994"/>
      <c r="CO204" s="7995"/>
      <c r="CP204" s="7996"/>
      <c r="CQ204" s="7997"/>
      <c r="CR204" s="7998"/>
      <c r="CS204" s="7999"/>
      <c r="CT204" s="8000"/>
      <c r="CU204" s="8001"/>
      <c r="CV204" s="8002"/>
      <c r="CW204" s="4093"/>
      <c r="CX204" s="4196"/>
      <c r="CY204" s="4196" t="str">
        <f>IF(T204="","",T204)</f>
        <v>Добавить наименование признака дифференциации</v>
      </c>
      <c r="CZ204" s="4196"/>
      <c r="DA204" s="4196"/>
      <c r="DB204" s="3858">
        <v>0</v>
      </c>
    </row>
    <row s="8003" customFormat="1" customHeight="1" ht="14.25">
      <c r="A205" s="4939"/>
      <c r="B205" s="4939"/>
      <c r="C205" s="4939"/>
      <c r="D205" s="4939"/>
      <c r="E205" s="4184"/>
      <c r="F205" s="4500" t="s">
        <v>97</v>
      </c>
      <c r="G205" s="4939"/>
      <c r="H205" s="4939"/>
      <c r="I205" s="4939"/>
      <c r="J205" s="4939"/>
      <c r="K205" s="4939"/>
      <c r="L205" s="4940"/>
      <c r="M205" s="4941"/>
      <c r="N205" s="4941"/>
      <c r="O205" s="4093"/>
      <c r="P205" s="4942"/>
      <c r="Q205" s="4943"/>
      <c r="R205" s="4942"/>
      <c r="S205" s="4944"/>
      <c r="T205" s="4945" t="s">
        <v>302</v>
      </c>
      <c r="U205" s="4081"/>
      <c r="V205" s="4081"/>
      <c r="W205" s="4081"/>
      <c r="X205" s="4081"/>
      <c r="Y205" s="4081"/>
      <c r="Z205" s="4081"/>
      <c r="AA205" s="4081"/>
      <c r="AB205" s="4081"/>
      <c r="AC205" s="4081"/>
      <c r="AD205" s="4081"/>
      <c r="AE205" s="4081"/>
      <c r="AF205" s="4081"/>
      <c r="AG205" s="4081"/>
      <c r="AH205" s="4081"/>
      <c r="AI205" s="4081"/>
      <c r="AJ205" s="4081"/>
      <c r="AK205" s="4081"/>
      <c r="AL205" s="4081"/>
      <c r="AM205" s="4081"/>
      <c r="AN205" s="4081"/>
      <c r="AO205" s="4081"/>
      <c r="AP205" s="4081"/>
      <c r="AQ205" s="4081"/>
      <c r="AR205" s="4081"/>
      <c r="AS205" s="4081"/>
      <c r="AT205" s="4081"/>
      <c r="AU205" s="4081"/>
      <c r="AV205" s="4081"/>
      <c r="AW205" s="4081"/>
      <c r="AX205" s="4081"/>
      <c r="AY205" s="4081"/>
      <c r="AZ205" s="4081"/>
      <c r="BA205" s="4081"/>
      <c r="BB205" s="4081"/>
      <c r="BC205" s="4081"/>
      <c r="BD205" s="4081"/>
      <c r="BE205" s="4081"/>
      <c r="BF205" s="4081"/>
      <c r="BG205" s="4081"/>
      <c r="BH205" s="4081"/>
      <c r="BI205" s="4081"/>
      <c r="BJ205" s="4081"/>
      <c r="BK205" s="4081"/>
      <c r="BL205" s="4081"/>
      <c r="BM205" s="4081"/>
      <c r="BN205" s="4081"/>
      <c r="BO205" s="4081"/>
      <c r="BP205" s="4081"/>
      <c r="BQ205" s="4081"/>
      <c r="BR205" s="4081"/>
      <c r="BS205" s="4081"/>
      <c r="BT205" s="4081"/>
      <c r="BU205" s="4081"/>
      <c r="BV205" s="4081"/>
      <c r="BW205" s="4081"/>
      <c r="BX205" s="4081"/>
      <c r="BY205" s="4081"/>
      <c r="BZ205" s="4081"/>
      <c r="CA205" s="4081"/>
      <c r="CB205" s="4081"/>
      <c r="CC205" s="4081"/>
      <c r="CD205" s="4081"/>
      <c r="CE205" s="4081"/>
      <c r="CF205" s="4081"/>
      <c r="CG205" s="4081"/>
      <c r="CH205" s="4081"/>
      <c r="CI205" s="4081"/>
      <c r="CJ205" s="4081"/>
      <c r="CK205" s="4081"/>
      <c r="CL205" s="4081"/>
      <c r="CM205" s="4081"/>
      <c r="CN205" s="4081"/>
      <c r="CO205" s="4081"/>
      <c r="CP205" s="4081"/>
      <c r="CQ205" s="4081"/>
      <c r="CR205" s="4081"/>
      <c r="CS205" s="4081"/>
      <c r="CT205" s="4081"/>
      <c r="CU205" s="4081"/>
      <c r="CV205" s="4081"/>
      <c r="CW205" s="4093"/>
      <c r="CX205" s="4196"/>
      <c r="CY205" s="4196" t="str">
        <f>IF(T205="","",T205)</f>
        <v>Добавить централизованную систему для дифференциации</v>
      </c>
      <c r="CZ205" s="4196"/>
      <c r="DA205" s="4196"/>
      <c r="DB205" s="4093">
        <v>0</v>
      </c>
    </row>
    <row s="8004" customFormat="1" customHeight="1" ht="23.25">
      <c r="A206" s="4183"/>
      <c r="B206" s="4183" t="s">
        <v>328</v>
      </c>
      <c r="C206" s="4183"/>
      <c r="D206" s="4183"/>
      <c r="E206" s="4184"/>
      <c r="F206" s="4500" t="s">
        <v>140</v>
      </c>
      <c r="G206" s="4183"/>
      <c r="H206" s="4183"/>
      <c r="I206" s="4183"/>
      <c r="J206" s="4183"/>
      <c r="K206" s="4183"/>
      <c r="L206" s="4187"/>
      <c r="M206" s="4501"/>
      <c r="N206" s="4501"/>
      <c r="O206" s="4501"/>
      <c r="P206" s="4502"/>
      <c r="Q206" s="4503"/>
      <c r="R206" s="4504"/>
      <c r="S206" s="4192" t="str">
        <f>INDEX(PT_DIFFERENTIATION_NUM_TER,MATCH(B206,PT_DIFFERENTIATION_TER_ID,0))</f>
        <v>1.9</v>
      </c>
      <c r="T206" s="4505" t="s">
        <v>529</v>
      </c>
      <c r="U206" s="4194"/>
      <c r="V206" s="3860"/>
      <c r="W206" s="3861"/>
      <c r="X206" s="3861"/>
      <c r="Y206" s="3861"/>
      <c r="Z206" s="3861"/>
      <c r="AA206" s="3861"/>
      <c r="AB206" s="3862"/>
      <c r="AC206" s="3860" t="str">
        <f>INDEX(PT_DIFFERENTIATION_TER,MATCH(B206,PT_DIFFERENTIATION_TER_ID,0))</f>
        <v>Территория 9</v>
      </c>
      <c r="AD206" s="3861"/>
      <c r="AE206" s="3861"/>
      <c r="AF206" s="3861"/>
      <c r="AG206" s="3861"/>
      <c r="AH206" s="3861"/>
      <c r="AI206" s="3861"/>
      <c r="AJ206" s="3860"/>
      <c r="AK206" s="3861"/>
      <c r="AL206" s="3861"/>
      <c r="AM206" s="3861"/>
      <c r="AN206" s="3861"/>
      <c r="AO206" s="3861"/>
      <c r="AP206" s="3862"/>
      <c r="AQ206" s="3860"/>
      <c r="AR206" s="3861"/>
      <c r="AS206" s="3861"/>
      <c r="AT206" s="3861"/>
      <c r="AU206" s="3861"/>
      <c r="AV206" s="3861"/>
      <c r="AW206" s="3862"/>
      <c r="AX206" s="3860"/>
      <c r="AY206" s="3861"/>
      <c r="AZ206" s="3861"/>
      <c r="BA206" s="3861"/>
      <c r="BB206" s="3861"/>
      <c r="BC206" s="3861"/>
      <c r="BD206" s="3862"/>
      <c r="BE206" s="3860"/>
      <c r="BF206" s="3861"/>
      <c r="BG206" s="3861"/>
      <c r="BH206" s="3861"/>
      <c r="BI206" s="3861"/>
      <c r="BJ206" s="3861"/>
      <c r="BK206" s="3862"/>
      <c r="BL206" s="3860"/>
      <c r="BM206" s="3861"/>
      <c r="BN206" s="3861"/>
      <c r="BO206" s="3861"/>
      <c r="BP206" s="3861"/>
      <c r="BQ206" s="3861"/>
      <c r="BR206" s="3862"/>
      <c r="BS206" s="3860"/>
      <c r="BT206" s="3861"/>
      <c r="BU206" s="3861"/>
      <c r="BV206" s="3861"/>
      <c r="BW206" s="3861"/>
      <c r="BX206" s="3861"/>
      <c r="BY206" s="3862"/>
      <c r="BZ206" s="3860"/>
      <c r="CA206" s="3861"/>
      <c r="CB206" s="3861"/>
      <c r="CC206" s="3861"/>
      <c r="CD206" s="3861"/>
      <c r="CE206" s="3861"/>
      <c r="CF206" s="3862"/>
      <c r="CG206" s="3860"/>
      <c r="CH206" s="3861"/>
      <c r="CI206" s="3861"/>
      <c r="CJ206" s="3861"/>
      <c r="CK206" s="3861"/>
      <c r="CL206" s="3861"/>
      <c r="CM206" s="3862"/>
      <c r="CN206" s="3860"/>
      <c r="CO206" s="3861"/>
      <c r="CP206" s="3861"/>
      <c r="CQ206" s="3861"/>
      <c r="CR206" s="3861"/>
      <c r="CS206" s="3861"/>
      <c r="CT206" s="3862"/>
      <c r="CU206" s="3862"/>
      <c r="CV206" s="4287" t="s">
        <v>530</v>
      </c>
      <c r="CW206" s="4093"/>
      <c r="CX206" s="4196"/>
      <c r="CY206" s="4196" t="str">
        <f>IF(T206="","",T206)</f>
        <v>Территория действия тарифа</v>
      </c>
      <c r="CZ206" s="4196"/>
      <c r="DA206" s="4196"/>
      <c r="DB206" s="3858">
        <v>0</v>
      </c>
    </row>
    <row s="8005" customFormat="1" customHeight="1" ht="23.25">
      <c r="A207" s="4183"/>
      <c r="B207" s="4183"/>
      <c r="C207" s="4183" t="s">
        <v>329</v>
      </c>
      <c r="D207" s="4183"/>
      <c r="E207" s="4184"/>
      <c r="F207" s="4184" t="s">
        <v>135</v>
      </c>
      <c r="G207" s="4500">
        <v>1</v>
      </c>
      <c r="H207" s="4183"/>
      <c r="I207" s="4183"/>
      <c r="J207" s="4183"/>
      <c r="K207" s="4183"/>
      <c r="L207" s="4187"/>
      <c r="M207" s="4501"/>
      <c r="N207" s="4501"/>
      <c r="O207" s="4501"/>
      <c r="P207" s="4507"/>
      <c r="Q207" s="4503"/>
      <c r="R207" s="4504"/>
      <c r="S207" s="4192" t="str">
        <f>INDEX(PT_DIFFERENTIATION_NUM_CS,MATCH(C207,PT_DIFFERENTIATION_CS_ID,0))</f>
        <v>1.9.1</v>
      </c>
      <c r="T207" s="4508" t="s">
        <v>610</v>
      </c>
      <c r="U207" s="4194"/>
      <c r="V207" s="3860"/>
      <c r="W207" s="3861"/>
      <c r="X207" s="3861"/>
      <c r="Y207" s="3861"/>
      <c r="Z207" s="3861"/>
      <c r="AA207" s="3861"/>
      <c r="AB207" s="3862"/>
      <c r="AC207" s="3860" t="str">
        <f>INDEX(PT_DIFFERENTIATION_CS,MATCH(C207,PT_DIFFERENTIATION_CS_ID,0))</f>
        <v>без дифференциации</v>
      </c>
      <c r="AD207" s="3861"/>
      <c r="AE207" s="3861"/>
      <c r="AF207" s="3861"/>
      <c r="AG207" s="3861"/>
      <c r="AH207" s="3861"/>
      <c r="AI207" s="3861"/>
      <c r="AJ207" s="3860"/>
      <c r="AK207" s="3861"/>
      <c r="AL207" s="3861"/>
      <c r="AM207" s="3861"/>
      <c r="AN207" s="3861"/>
      <c r="AO207" s="3861"/>
      <c r="AP207" s="3862"/>
      <c r="AQ207" s="3860"/>
      <c r="AR207" s="3861"/>
      <c r="AS207" s="3861"/>
      <c r="AT207" s="3861"/>
      <c r="AU207" s="3861"/>
      <c r="AV207" s="3861"/>
      <c r="AW207" s="3862"/>
      <c r="AX207" s="3860"/>
      <c r="AY207" s="3861"/>
      <c r="AZ207" s="3861"/>
      <c r="BA207" s="3861"/>
      <c r="BB207" s="3861"/>
      <c r="BC207" s="3861"/>
      <c r="BD207" s="3862"/>
      <c r="BE207" s="3860"/>
      <c r="BF207" s="3861"/>
      <c r="BG207" s="3861"/>
      <c r="BH207" s="3861"/>
      <c r="BI207" s="3861"/>
      <c r="BJ207" s="3861"/>
      <c r="BK207" s="3862"/>
      <c r="BL207" s="3860"/>
      <c r="BM207" s="3861"/>
      <c r="BN207" s="3861"/>
      <c r="BO207" s="3861"/>
      <c r="BP207" s="3861"/>
      <c r="BQ207" s="3861"/>
      <c r="BR207" s="3862"/>
      <c r="BS207" s="3860"/>
      <c r="BT207" s="3861"/>
      <c r="BU207" s="3861"/>
      <c r="BV207" s="3861"/>
      <c r="BW207" s="3861"/>
      <c r="BX207" s="3861"/>
      <c r="BY207" s="3862"/>
      <c r="BZ207" s="3860"/>
      <c r="CA207" s="3861"/>
      <c r="CB207" s="3861"/>
      <c r="CC207" s="3861"/>
      <c r="CD207" s="3861"/>
      <c r="CE207" s="3861"/>
      <c r="CF207" s="3862"/>
      <c r="CG207" s="3860"/>
      <c r="CH207" s="3861"/>
      <c r="CI207" s="3861"/>
      <c r="CJ207" s="3861"/>
      <c r="CK207" s="3861"/>
      <c r="CL207" s="3861"/>
      <c r="CM207" s="3862"/>
      <c r="CN207" s="3860"/>
      <c r="CO207" s="3861"/>
      <c r="CP207" s="3861"/>
      <c r="CQ207" s="3861"/>
      <c r="CR207" s="3861"/>
      <c r="CS207" s="3861"/>
      <c r="CT207" s="3862"/>
      <c r="CU207" s="3862"/>
      <c r="CV207" s="4287" t="s">
        <v>611</v>
      </c>
      <c r="CW207" s="4093"/>
      <c r="CX207" s="4196"/>
      <c r="CY207" s="4196" t="str">
        <f>IF(T207="","",T207)</f>
        <v>Наименование централизованной системы холодного водоснабжения</v>
      </c>
      <c r="CZ207" s="4196"/>
      <c r="DA207" s="4196"/>
      <c r="DB207" s="3858">
        <v>0</v>
      </c>
    </row>
    <row s="8006" customFormat="1" customHeight="1" ht="23.25">
      <c r="A208" s="4183"/>
      <c r="B208" s="4183"/>
      <c r="C208" s="4183"/>
      <c r="D208" s="4183"/>
      <c r="E208" s="4184"/>
      <c r="F208" s="4184" t="s">
        <v>135</v>
      </c>
      <c r="G208" s="4184"/>
      <c r="H208" s="4184"/>
      <c r="I208" s="4186" t="str">
        <f>S207&amp;".1"</f>
        <v>1.9.1.1</v>
      </c>
      <c r="J208" s="4183"/>
      <c r="K208" s="4183"/>
      <c r="L208" s="4187"/>
      <c r="M208" s="4188"/>
      <c r="N208" s="4188"/>
      <c r="O208" s="4188"/>
      <c r="P208" s="4189">
        <v>1</v>
      </c>
      <c r="Q208" s="4189"/>
      <c r="R208" s="4205"/>
      <c r="S208" s="4192" t="str">
        <f>$I208</f>
        <v>1.9.1.1</v>
      </c>
      <c r="T208" s="4510" t="s">
        <v>612</v>
      </c>
      <c r="U208" s="4194"/>
      <c r="V208" s="3870"/>
      <c r="W208" s="3871"/>
      <c r="X208" s="3871"/>
      <c r="Y208" s="3871"/>
      <c r="Z208" s="3871"/>
      <c r="AA208" s="3871"/>
      <c r="AB208" s="3872"/>
      <c r="AC208" s="4511"/>
      <c r="AD208" s="4512"/>
      <c r="AE208" s="4512"/>
      <c r="AF208" s="4512"/>
      <c r="AG208" s="4512"/>
      <c r="AH208" s="4512"/>
      <c r="AI208" s="4512"/>
      <c r="AJ208" s="3870"/>
      <c r="AK208" s="3871"/>
      <c r="AL208" s="3871"/>
      <c r="AM208" s="3871"/>
      <c r="AN208" s="3871"/>
      <c r="AO208" s="3871"/>
      <c r="AP208" s="3872"/>
      <c r="AQ208" s="3870"/>
      <c r="AR208" s="3871"/>
      <c r="AS208" s="3871"/>
      <c r="AT208" s="3871"/>
      <c r="AU208" s="3871"/>
      <c r="AV208" s="3871"/>
      <c r="AW208" s="3872"/>
      <c r="AX208" s="3870"/>
      <c r="AY208" s="3871"/>
      <c r="AZ208" s="3871"/>
      <c r="BA208" s="3871"/>
      <c r="BB208" s="3871"/>
      <c r="BC208" s="3871"/>
      <c r="BD208" s="3872"/>
      <c r="BE208" s="3870"/>
      <c r="BF208" s="3871"/>
      <c r="BG208" s="3871"/>
      <c r="BH208" s="3871"/>
      <c r="BI208" s="3871"/>
      <c r="BJ208" s="3871"/>
      <c r="BK208" s="3872"/>
      <c r="BL208" s="3870"/>
      <c r="BM208" s="3871"/>
      <c r="BN208" s="3871"/>
      <c r="BO208" s="3871"/>
      <c r="BP208" s="3871"/>
      <c r="BQ208" s="3871"/>
      <c r="BR208" s="3872"/>
      <c r="BS208" s="3870"/>
      <c r="BT208" s="3871"/>
      <c r="BU208" s="3871"/>
      <c r="BV208" s="3871"/>
      <c r="BW208" s="3871"/>
      <c r="BX208" s="3871"/>
      <c r="BY208" s="3872"/>
      <c r="BZ208" s="3870"/>
      <c r="CA208" s="3871"/>
      <c r="CB208" s="3871"/>
      <c r="CC208" s="3871"/>
      <c r="CD208" s="3871"/>
      <c r="CE208" s="3871"/>
      <c r="CF208" s="3872"/>
      <c r="CG208" s="3870"/>
      <c r="CH208" s="3871"/>
      <c r="CI208" s="3871"/>
      <c r="CJ208" s="3871"/>
      <c r="CK208" s="3871"/>
      <c r="CL208" s="3871"/>
      <c r="CM208" s="3872"/>
      <c r="CN208" s="3870"/>
      <c r="CO208" s="3871"/>
      <c r="CP208" s="3871"/>
      <c r="CQ208" s="3871"/>
      <c r="CR208" s="3871"/>
      <c r="CS208" s="3871"/>
      <c r="CT208" s="3872"/>
      <c r="CU208" s="4513"/>
      <c r="CV208" s="4287" t="s">
        <v>613</v>
      </c>
      <c r="CW208" s="4093"/>
      <c r="CX208" s="4196"/>
      <c r="CY208" s="4196" t="str">
        <f>IF(T208="","",T208)</f>
        <v>Наименование признака дифференциации</v>
      </c>
      <c r="CZ208" s="4196"/>
      <c r="DA208" s="4196"/>
      <c r="DB208" s="3858">
        <v>0</v>
      </c>
    </row>
    <row s="8007" customFormat="1" customHeight="1" ht="23.25">
      <c r="A209" s="4183"/>
      <c r="B209" s="4183"/>
      <c r="C209" s="4183"/>
      <c r="D209" s="4183"/>
      <c r="E209" s="4184"/>
      <c r="F209" s="4184" t="s">
        <v>135</v>
      </c>
      <c r="G209" s="4184"/>
      <c r="H209" s="4184"/>
      <c r="I209" s="4185"/>
      <c r="J209" s="4186" t="str">
        <f>I208&amp;".1"</f>
        <v>1.9.1.1.1</v>
      </c>
      <c r="K209" s="4183"/>
      <c r="L209" s="4187" t="s">
        <v>538</v>
      </c>
      <c r="M209" s="4188"/>
      <c r="N209" s="4188"/>
      <c r="O209" s="4188"/>
      <c r="P209" s="4189"/>
      <c r="Q209" s="4189">
        <v>1</v>
      </c>
      <c r="R209" s="4191"/>
      <c r="S209" s="4192" t="str">
        <f>$J209</f>
        <v>1.9.1.1.1</v>
      </c>
      <c r="T209" s="4193" t="s">
        <v>539</v>
      </c>
      <c r="U209" s="4194"/>
      <c r="V209" s="3874"/>
      <c r="W209" s="3875"/>
      <c r="X209" s="3875"/>
      <c r="Y209" s="3875"/>
      <c r="Z209" s="3875"/>
      <c r="AA209" s="3875"/>
      <c r="AB209" s="3876"/>
      <c r="AC209" s="3874" t="s">
        <v>625</v>
      </c>
      <c r="AD209" s="3875"/>
      <c r="AE209" s="3875"/>
      <c r="AF209" s="3875"/>
      <c r="AG209" s="3875"/>
      <c r="AH209" s="3875"/>
      <c r="AI209" s="3875"/>
      <c r="AJ209" s="3874"/>
      <c r="AK209" s="3875"/>
      <c r="AL209" s="3875"/>
      <c r="AM209" s="3875"/>
      <c r="AN209" s="3875"/>
      <c r="AO209" s="3875"/>
      <c r="AP209" s="3876"/>
      <c r="AQ209" s="3874"/>
      <c r="AR209" s="3875"/>
      <c r="AS209" s="3875"/>
      <c r="AT209" s="3875"/>
      <c r="AU209" s="3875"/>
      <c r="AV209" s="3875"/>
      <c r="AW209" s="3876"/>
      <c r="AX209" s="3874"/>
      <c r="AY209" s="3875"/>
      <c r="AZ209" s="3875"/>
      <c r="BA209" s="3875"/>
      <c r="BB209" s="3875"/>
      <c r="BC209" s="3875"/>
      <c r="BD209" s="3876"/>
      <c r="BE209" s="3874"/>
      <c r="BF209" s="3875"/>
      <c r="BG209" s="3875"/>
      <c r="BH209" s="3875"/>
      <c r="BI209" s="3875"/>
      <c r="BJ209" s="3875"/>
      <c r="BK209" s="3876"/>
      <c r="BL209" s="3874"/>
      <c r="BM209" s="3875"/>
      <c r="BN209" s="3875"/>
      <c r="BO209" s="3875"/>
      <c r="BP209" s="3875"/>
      <c r="BQ209" s="3875"/>
      <c r="BR209" s="3876"/>
      <c r="BS209" s="3874"/>
      <c r="BT209" s="3875"/>
      <c r="BU209" s="3875"/>
      <c r="BV209" s="3875"/>
      <c r="BW209" s="3875"/>
      <c r="BX209" s="3875"/>
      <c r="BY209" s="3876"/>
      <c r="BZ209" s="3874"/>
      <c r="CA209" s="3875"/>
      <c r="CB209" s="3875"/>
      <c r="CC209" s="3875"/>
      <c r="CD209" s="3875"/>
      <c r="CE209" s="3875"/>
      <c r="CF209" s="3876"/>
      <c r="CG209" s="3874"/>
      <c r="CH209" s="3875"/>
      <c r="CI209" s="3875"/>
      <c r="CJ209" s="3875"/>
      <c r="CK209" s="3875"/>
      <c r="CL209" s="3875"/>
      <c r="CM209" s="3876"/>
      <c r="CN209" s="3874"/>
      <c r="CO209" s="3875"/>
      <c r="CP209" s="3875"/>
      <c r="CQ209" s="3875"/>
      <c r="CR209" s="3875"/>
      <c r="CS209" s="3875"/>
      <c r="CT209" s="3876"/>
      <c r="CU209" s="3876"/>
      <c r="CV209" s="4195" t="s">
        <v>614</v>
      </c>
      <c r="CW209" s="4093"/>
      <c r="CX209" s="4196"/>
      <c r="CY209" s="4196" t="str">
        <f>IF(T209="","",T209)</f>
        <v>Группа потребителей</v>
      </c>
      <c r="CZ209" s="4196"/>
      <c r="DA209" s="4196"/>
      <c r="DB209" s="3858">
        <v>0</v>
      </c>
    </row>
    <row s="8008" customFormat="1" customHeight="1" ht="23.25">
      <c r="A210" s="4183"/>
      <c r="B210" s="4183"/>
      <c r="C210" s="4183"/>
      <c r="D210" s="4183"/>
      <c r="E210" s="4184"/>
      <c r="F210" s="4184" t="s">
        <v>135</v>
      </c>
      <c r="G210" s="4184"/>
      <c r="H210" s="4184"/>
      <c r="I210" s="4185"/>
      <c r="J210" s="4185"/>
      <c r="K210" s="4186" t="str">
        <f>J209&amp;".1"</f>
        <v>1.9.1.1.1.1</v>
      </c>
      <c r="L210" s="4187"/>
      <c r="M210" s="4188"/>
      <c r="N210" s="4188"/>
      <c r="O210" s="4188"/>
      <c r="P210" s="4189"/>
      <c r="Q210" s="4189"/>
      <c r="R210" s="4191">
        <v>1</v>
      </c>
      <c r="S210" s="4192" t="str">
        <f>$K210</f>
        <v>1.9.1.1.1.1</v>
      </c>
      <c r="T210" s="4198"/>
      <c r="U210" s="4194"/>
      <c r="V210" s="3878"/>
      <c r="W210" s="3878"/>
      <c r="X210" s="3879"/>
      <c r="Y210" s="3880"/>
      <c r="Z210" s="3881" t="s">
        <v>65</v>
      </c>
      <c r="AA210" s="3880"/>
      <c r="AB210" s="3881" t="s">
        <v>65</v>
      </c>
      <c r="AC210" s="3878">
        <v>44.72</v>
      </c>
      <c r="AD210" s="3878"/>
      <c r="AE210" s="3879"/>
      <c r="AF210" s="3880">
        <v>45292</v>
      </c>
      <c r="AG210" s="3881" t="s">
        <v>65</v>
      </c>
      <c r="AH210" s="4116">
        <v>45473</v>
      </c>
      <c r="AI210" s="3881" t="s">
        <v>65</v>
      </c>
      <c r="AJ210" s="3878">
        <v>51.16</v>
      </c>
      <c r="AK210" s="3878"/>
      <c r="AL210" s="3879"/>
      <c r="AM210" s="3880">
        <v>45474</v>
      </c>
      <c r="AN210" s="3881" t="s">
        <v>65</v>
      </c>
      <c r="AO210" s="3880">
        <v>45657</v>
      </c>
      <c r="AP210" s="3881" t="s">
        <v>65</v>
      </c>
      <c r="AQ210" s="3878">
        <v>51.16</v>
      </c>
      <c r="AR210" s="3878"/>
      <c r="AS210" s="3879"/>
      <c r="AT210" s="3880">
        <v>45658</v>
      </c>
      <c r="AU210" s="3881" t="s">
        <v>65</v>
      </c>
      <c r="AV210" s="3880">
        <v>45838</v>
      </c>
      <c r="AW210" s="3881" t="s">
        <v>65</v>
      </c>
      <c r="AX210" s="3878">
        <v>58.32</v>
      </c>
      <c r="AY210" s="3878"/>
      <c r="AZ210" s="3879"/>
      <c r="BA210" s="3880">
        <v>45839</v>
      </c>
      <c r="BB210" s="3881" t="s">
        <v>65</v>
      </c>
      <c r="BC210" s="3880">
        <v>46022</v>
      </c>
      <c r="BD210" s="3881" t="s">
        <v>65</v>
      </c>
      <c r="BE210" s="3878">
        <v>54.08</v>
      </c>
      <c r="BF210" s="3878"/>
      <c r="BG210" s="3879"/>
      <c r="BH210" s="3880">
        <v>46023</v>
      </c>
      <c r="BI210" s="3881" t="s">
        <v>65</v>
      </c>
      <c r="BJ210" s="3880">
        <v>46203</v>
      </c>
      <c r="BK210" s="3881" t="s">
        <v>65</v>
      </c>
      <c r="BL210" s="3878">
        <v>56.24</v>
      </c>
      <c r="BM210" s="3878"/>
      <c r="BN210" s="3879"/>
      <c r="BO210" s="3880">
        <v>46204</v>
      </c>
      <c r="BP210" s="3881" t="s">
        <v>65</v>
      </c>
      <c r="BQ210" s="3880">
        <v>46387</v>
      </c>
      <c r="BR210" s="3881" t="s">
        <v>65</v>
      </c>
      <c r="BS210" s="3878">
        <v>56.24</v>
      </c>
      <c r="BT210" s="3878"/>
      <c r="BU210" s="3879"/>
      <c r="BV210" s="3880">
        <v>46388</v>
      </c>
      <c r="BW210" s="3881" t="s">
        <v>65</v>
      </c>
      <c r="BX210" s="3880">
        <v>46568</v>
      </c>
      <c r="BY210" s="3881" t="s">
        <v>65</v>
      </c>
      <c r="BZ210" s="3878">
        <v>58.49</v>
      </c>
      <c r="CA210" s="3878"/>
      <c r="CB210" s="3879"/>
      <c r="CC210" s="3880">
        <v>46569</v>
      </c>
      <c r="CD210" s="3881" t="s">
        <v>65</v>
      </c>
      <c r="CE210" s="3880">
        <v>46752</v>
      </c>
      <c r="CF210" s="3881" t="s">
        <v>65</v>
      </c>
      <c r="CG210" s="3878">
        <v>58.49</v>
      </c>
      <c r="CH210" s="3878"/>
      <c r="CI210" s="3879"/>
      <c r="CJ210" s="3880">
        <v>46753</v>
      </c>
      <c r="CK210" s="3881" t="s">
        <v>65</v>
      </c>
      <c r="CL210" s="3880">
        <v>46934</v>
      </c>
      <c r="CM210" s="3881" t="s">
        <v>65</v>
      </c>
      <c r="CN210" s="3878">
        <v>60.83</v>
      </c>
      <c r="CO210" s="3878"/>
      <c r="CP210" s="3879"/>
      <c r="CQ210" s="3880">
        <v>46935</v>
      </c>
      <c r="CR210" s="3881" t="s">
        <v>65</v>
      </c>
      <c r="CS210" s="3880">
        <v>47118</v>
      </c>
      <c r="CT210" s="3881" t="s">
        <v>65</v>
      </c>
      <c r="CU210" s="4199"/>
      <c r="CV21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0" s="4093">
        <f>STRCHECKDATE(V211:CU211)</f>
      </c>
      <c r="CX210" s="4196"/>
      <c r="CY210" s="4196" t="str">
        <f>IF(T210="","",T210)</f>
        <v/>
      </c>
      <c r="CZ210" s="4196"/>
      <c r="DA210" s="4196"/>
      <c r="DB210" s="3858">
        <v>0</v>
      </c>
    </row>
    <row s="8009" customFormat="1" customHeight="1" ht="14.25">
      <c r="A211" s="4183"/>
      <c r="B211" s="4183"/>
      <c r="C211" s="4183"/>
      <c r="D211" s="4183"/>
      <c r="E211" s="4184"/>
      <c r="F211" s="4184" t="s">
        <v>135</v>
      </c>
      <c r="G211" s="4184"/>
      <c r="H211" s="4184"/>
      <c r="I211" s="4185"/>
      <c r="J211" s="4185"/>
      <c r="K211" s="4186"/>
      <c r="L211" s="4187"/>
      <c r="M211" s="4188"/>
      <c r="N211" s="4188"/>
      <c r="O211" s="4188"/>
      <c r="P211" s="4189"/>
      <c r="Q211" s="4189"/>
      <c r="R211" s="4191"/>
      <c r="S211" s="4202"/>
      <c r="T211" s="4194"/>
      <c r="U211" s="4194"/>
      <c r="V211" s="3885"/>
      <c r="W211" s="3885"/>
      <c r="X211" s="3886" t="str">
        <f>Y210&amp;"-"&amp;AA210</f>
        <v>-</v>
      </c>
      <c r="Y211" s="3887"/>
      <c r="Z211" s="3881"/>
      <c r="AA211" s="3887"/>
      <c r="AB211" s="3881"/>
      <c r="AC211" s="3885"/>
      <c r="AD211" s="3885"/>
      <c r="AE211" s="3886" t="str">
        <f>AF210&amp;"-"&amp;AH210</f>
        <v>45292-45473</v>
      </c>
      <c r="AF211" s="3887"/>
      <c r="AG211" s="3881"/>
      <c r="AH211" s="4118"/>
      <c r="AI211" s="3881"/>
      <c r="AJ211" s="3885"/>
      <c r="AK211" s="3885"/>
      <c r="AL211" s="3886" t="str">
        <f>AM210&amp;"-"&amp;AO210</f>
        <v>45474-45657</v>
      </c>
      <c r="AM211" s="3887"/>
      <c r="AN211" s="3881"/>
      <c r="AO211" s="3887"/>
      <c r="AP211" s="3881"/>
      <c r="AQ211" s="3885"/>
      <c r="AR211" s="3885"/>
      <c r="AS211" s="3886" t="str">
        <f>AT210&amp;"-"&amp;AV210</f>
        <v>45658-45838</v>
      </c>
      <c r="AT211" s="3887"/>
      <c r="AU211" s="3881"/>
      <c r="AV211" s="3887"/>
      <c r="AW211" s="3881"/>
      <c r="AX211" s="3885"/>
      <c r="AY211" s="3885"/>
      <c r="AZ211" s="3886" t="str">
        <f>BA210&amp;"-"&amp;BC210</f>
        <v>45839-46022</v>
      </c>
      <c r="BA211" s="3887"/>
      <c r="BB211" s="3881"/>
      <c r="BC211" s="3887"/>
      <c r="BD211" s="3881"/>
      <c r="BE211" s="3885"/>
      <c r="BF211" s="3885"/>
      <c r="BG211" s="3886" t="str">
        <f>BH210&amp;"-"&amp;BJ210</f>
        <v>46023-46203</v>
      </c>
      <c r="BH211" s="3887"/>
      <c r="BI211" s="3881"/>
      <c r="BJ211" s="3887"/>
      <c r="BK211" s="3881"/>
      <c r="BL211" s="3885"/>
      <c r="BM211" s="3885"/>
      <c r="BN211" s="3886" t="str">
        <f>BO210&amp;"-"&amp;BQ210</f>
        <v>46204-46387</v>
      </c>
      <c r="BO211" s="3887"/>
      <c r="BP211" s="3881"/>
      <c r="BQ211" s="3887"/>
      <c r="BR211" s="3881"/>
      <c r="BS211" s="3885"/>
      <c r="BT211" s="3885"/>
      <c r="BU211" s="3886" t="str">
        <f>BV210&amp;"-"&amp;BX210</f>
        <v>46388-46568</v>
      </c>
      <c r="BV211" s="3887"/>
      <c r="BW211" s="3881"/>
      <c r="BX211" s="3887"/>
      <c r="BY211" s="3881"/>
      <c r="BZ211" s="3885"/>
      <c r="CA211" s="3885"/>
      <c r="CB211" s="3886" t="str">
        <f>CC210&amp;"-"&amp;CE210</f>
        <v>46569-46752</v>
      </c>
      <c r="CC211" s="3887"/>
      <c r="CD211" s="3881"/>
      <c r="CE211" s="3887"/>
      <c r="CF211" s="3881"/>
      <c r="CG211" s="3885"/>
      <c r="CH211" s="3885"/>
      <c r="CI211" s="3886" t="str">
        <f>CJ210&amp;"-"&amp;CL210</f>
        <v>46753-46934</v>
      </c>
      <c r="CJ211" s="3887"/>
      <c r="CK211" s="3881"/>
      <c r="CL211" s="3887"/>
      <c r="CM211" s="3881"/>
      <c r="CN211" s="3885"/>
      <c r="CO211" s="3885"/>
      <c r="CP211" s="3886" t="str">
        <f>CQ210&amp;"-"&amp;CS210</f>
        <v>46935-47118</v>
      </c>
      <c r="CQ211" s="3887"/>
      <c r="CR211" s="3881"/>
      <c r="CS211" s="3887"/>
      <c r="CT211" s="3881"/>
      <c r="CU211" s="4203"/>
      <c r="CV211" s="4200"/>
      <c r="CW211" s="4093"/>
      <c r="CX211" s="4196"/>
      <c r="CY211" s="4196" t="str">
        <f>IF(T211="","",T211)</f>
        <v/>
      </c>
      <c r="CZ211" s="4196"/>
      <c r="DA211" s="4196"/>
      <c r="DB211" s="3858">
        <v>0</v>
      </c>
    </row>
    <row s="8010" customFormat="1" customHeight="1" ht="21">
      <c r="A212" s="4183"/>
      <c r="B212" s="4183"/>
      <c r="C212" s="4183"/>
      <c r="D212" s="4183"/>
      <c r="E212" s="4184"/>
      <c r="F212" s="4184" t="s">
        <v>135</v>
      </c>
      <c r="G212" s="4184"/>
      <c r="H212" s="4184"/>
      <c r="I212" s="4185"/>
      <c r="J212" s="4186"/>
      <c r="K212" s="4183"/>
      <c r="L212" s="4187"/>
      <c r="M212" s="4188"/>
      <c r="N212" s="4188"/>
      <c r="O212" s="4188"/>
      <c r="P212" s="4189"/>
      <c r="Q212" s="4189"/>
      <c r="R212" s="4205"/>
      <c r="S212" s="8011"/>
      <c r="T212" s="8012" t="s">
        <v>615</v>
      </c>
      <c r="U212" s="8013"/>
      <c r="V212" s="8014"/>
      <c r="W212" s="8015"/>
      <c r="X212" s="8016"/>
      <c r="Y212" s="8017"/>
      <c r="Z212" s="8018"/>
      <c r="AA212" s="8019"/>
      <c r="AB212" s="8020"/>
      <c r="AC212" s="8021"/>
      <c r="AD212" s="8022"/>
      <c r="AE212" s="8023"/>
      <c r="AF212" s="8024"/>
      <c r="AG212" s="8025"/>
      <c r="AH212" s="8026"/>
      <c r="AI212" s="8027"/>
      <c r="AJ212" s="8028"/>
      <c r="AK212" s="8029"/>
      <c r="AL212" s="8030"/>
      <c r="AM212" s="8031"/>
      <c r="AN212" s="8032"/>
      <c r="AO212" s="8033"/>
      <c r="AP212" s="8034"/>
      <c r="AQ212" s="8035"/>
      <c r="AR212" s="8036"/>
      <c r="AS212" s="8037"/>
      <c r="AT212" s="8038"/>
      <c r="AU212" s="8039"/>
      <c r="AV212" s="8040"/>
      <c r="AW212" s="8041"/>
      <c r="AX212" s="8042"/>
      <c r="AY212" s="8043"/>
      <c r="AZ212" s="8044"/>
      <c r="BA212" s="8045"/>
      <c r="BB212" s="8046"/>
      <c r="BC212" s="8047"/>
      <c r="BD212" s="8048"/>
      <c r="BE212" s="8049"/>
      <c r="BF212" s="8050"/>
      <c r="BG212" s="8051"/>
      <c r="BH212" s="8052"/>
      <c r="BI212" s="8053"/>
      <c r="BJ212" s="8054"/>
      <c r="BK212" s="8055"/>
      <c r="BL212" s="8056"/>
      <c r="BM212" s="8057"/>
      <c r="BN212" s="8058"/>
      <c r="BO212" s="8059"/>
      <c r="BP212" s="8060"/>
      <c r="BQ212" s="8061"/>
      <c r="BR212" s="8062"/>
      <c r="BS212" s="8063"/>
      <c r="BT212" s="8064"/>
      <c r="BU212" s="8065"/>
      <c r="BV212" s="8066"/>
      <c r="BW212" s="8067"/>
      <c r="BX212" s="8068"/>
      <c r="BY212" s="8069"/>
      <c r="BZ212" s="8070"/>
      <c r="CA212" s="8071"/>
      <c r="CB212" s="8072"/>
      <c r="CC212" s="8073"/>
      <c r="CD212" s="8074"/>
      <c r="CE212" s="8075"/>
      <c r="CF212" s="8076"/>
      <c r="CG212" s="8077"/>
      <c r="CH212" s="8078"/>
      <c r="CI212" s="8079"/>
      <c r="CJ212" s="8080"/>
      <c r="CK212" s="8081"/>
      <c r="CL212" s="8082"/>
      <c r="CM212" s="8083"/>
      <c r="CN212" s="8084"/>
      <c r="CO212" s="8085"/>
      <c r="CP212" s="8086"/>
      <c r="CQ212" s="8087"/>
      <c r="CR212" s="8088"/>
      <c r="CS212" s="8089"/>
      <c r="CT212" s="8090"/>
      <c r="CU212" s="8091"/>
      <c r="CV212" s="4287" t="s">
        <v>616</v>
      </c>
      <c r="CW212" s="4093"/>
      <c r="CX212" s="4196"/>
      <c r="CY212" s="4196" t="str">
        <f>IF(T212="","",T212)</f>
        <v>Добавить значение признака дифференциации</v>
      </c>
      <c r="CZ212" s="4196"/>
      <c r="DA212" s="4196"/>
      <c r="DB212" s="3858">
        <v>0</v>
      </c>
    </row>
    <row s="8092" customFormat="1" customHeight="1" ht="23.25">
      <c r="A213" s="4183"/>
      <c r="B213" s="4183"/>
      <c r="C213" s="4183"/>
      <c r="D213" s="4183"/>
      <c r="E213" s="4184"/>
      <c r="F213" s="4184"/>
      <c r="G213" s="4184"/>
      <c r="H213" s="4184"/>
      <c r="I213" s="4185"/>
      <c r="J213" s="4186" t="str">
        <f>I208&amp;".2"</f>
        <v>1.9.1.1.2</v>
      </c>
      <c r="K213" s="4183"/>
      <c r="L213" s="4187" t="s">
        <v>538</v>
      </c>
      <c r="M213" s="4188"/>
      <c r="N213" s="4188"/>
      <c r="O213" s="4188"/>
      <c r="P213" s="4189"/>
      <c r="Q213" s="4190" t="s">
        <v>109</v>
      </c>
      <c r="R213" s="4191"/>
      <c r="S213" s="4192" t="str">
        <f>$J213</f>
        <v>1.9.1.1.2</v>
      </c>
      <c r="T213" s="4193" t="s">
        <v>539</v>
      </c>
      <c r="U213" s="4194"/>
      <c r="V213" s="3874"/>
      <c r="W213" s="3875"/>
      <c r="X213" s="3875"/>
      <c r="Y213" s="3875"/>
      <c r="Z213" s="3875"/>
      <c r="AA213" s="3875"/>
      <c r="AB213" s="3876"/>
      <c r="AC213" s="3874" t="s">
        <v>626</v>
      </c>
      <c r="AD213" s="3875"/>
      <c r="AE213" s="3875"/>
      <c r="AF213" s="3875"/>
      <c r="AG213" s="3875"/>
      <c r="AH213" s="3875"/>
      <c r="AI213" s="3875"/>
      <c r="AJ213" s="3874"/>
      <c r="AK213" s="3875"/>
      <c r="AL213" s="3875"/>
      <c r="AM213" s="3875"/>
      <c r="AN213" s="3875"/>
      <c r="AO213" s="3875"/>
      <c r="AP213" s="3876"/>
      <c r="AQ213" s="3874"/>
      <c r="AR213" s="3875"/>
      <c r="AS213" s="3875"/>
      <c r="AT213" s="3875"/>
      <c r="AU213" s="3875"/>
      <c r="AV213" s="3875"/>
      <c r="AW213" s="3876"/>
      <c r="AX213" s="3874"/>
      <c r="AY213" s="3875"/>
      <c r="AZ213" s="3875"/>
      <c r="BA213" s="3875"/>
      <c r="BB213" s="3875"/>
      <c r="BC213" s="3875"/>
      <c r="BD213" s="3876"/>
      <c r="BE213" s="3874"/>
      <c r="BF213" s="3875"/>
      <c r="BG213" s="3875"/>
      <c r="BH213" s="3875"/>
      <c r="BI213" s="3875"/>
      <c r="BJ213" s="3875"/>
      <c r="BK213" s="3876"/>
      <c r="BL213" s="3874"/>
      <c r="BM213" s="3875"/>
      <c r="BN213" s="3875"/>
      <c r="BO213" s="3875"/>
      <c r="BP213" s="3875"/>
      <c r="BQ213" s="3875"/>
      <c r="BR213" s="3876"/>
      <c r="BS213" s="3874"/>
      <c r="BT213" s="3875"/>
      <c r="BU213" s="3875"/>
      <c r="BV213" s="3875"/>
      <c r="BW213" s="3875"/>
      <c r="BX213" s="3875"/>
      <c r="BY213" s="3876"/>
      <c r="BZ213" s="3874"/>
      <c r="CA213" s="3875"/>
      <c r="CB213" s="3875"/>
      <c r="CC213" s="3875"/>
      <c r="CD213" s="3875"/>
      <c r="CE213" s="3875"/>
      <c r="CF213" s="3876"/>
      <c r="CG213" s="3874"/>
      <c r="CH213" s="3875"/>
      <c r="CI213" s="3875"/>
      <c r="CJ213" s="3875"/>
      <c r="CK213" s="3875"/>
      <c r="CL213" s="3875"/>
      <c r="CM213" s="3876"/>
      <c r="CN213" s="3874"/>
      <c r="CO213" s="3875"/>
      <c r="CP213" s="3875"/>
      <c r="CQ213" s="3875"/>
      <c r="CR213" s="3875"/>
      <c r="CS213" s="3875"/>
      <c r="CT213" s="3876"/>
      <c r="CU213" s="3876"/>
      <c r="CV213" s="4195" t="s">
        <v>614</v>
      </c>
      <c r="CW213" s="4093"/>
      <c r="CX213" s="4196"/>
      <c r="CY213" s="4196" t="str">
        <f>IF(T213="","",T213)</f>
        <v>Группа потребителей</v>
      </c>
      <c r="CZ213" s="4196"/>
      <c r="DA213" s="4196"/>
      <c r="DB213" s="3858">
        <v>0</v>
      </c>
    </row>
    <row s="8093" customFormat="1" customHeight="1" ht="23.25">
      <c r="A214" s="4183"/>
      <c r="B214" s="4183"/>
      <c r="C214" s="4183"/>
      <c r="D214" s="4183"/>
      <c r="E214" s="4184"/>
      <c r="F214" s="4184"/>
      <c r="G214" s="4184"/>
      <c r="H214" s="4184"/>
      <c r="I214" s="4185"/>
      <c r="J214" s="4185" t="str">
        <f>I208&amp;".1"</f>
        <v>1.9.1.1.1</v>
      </c>
      <c r="K214" s="4186" t="str">
        <f>J213&amp;".1"</f>
        <v>1.9.1.1.2.1</v>
      </c>
      <c r="L214" s="4187"/>
      <c r="M214" s="4188"/>
      <c r="N214" s="4188"/>
      <c r="O214" s="4188"/>
      <c r="P214" s="4189"/>
      <c r="Q214" s="4189"/>
      <c r="R214" s="4191">
        <v>1</v>
      </c>
      <c r="S214" s="4192" t="str">
        <f>$K214</f>
        <v>1.9.1.1.2.1</v>
      </c>
      <c r="T214" s="4198"/>
      <c r="U214" s="4194"/>
      <c r="V214" s="3878"/>
      <c r="W214" s="3878"/>
      <c r="X214" s="3879"/>
      <c r="Y214" s="3880"/>
      <c r="Z214" s="3881" t="s">
        <v>65</v>
      </c>
      <c r="AA214" s="3880"/>
      <c r="AB214" s="3881" t="s">
        <v>65</v>
      </c>
      <c r="AC214" s="3878">
        <v>47.8</v>
      </c>
      <c r="AD214" s="3878"/>
      <c r="AE214" s="3879"/>
      <c r="AF214" s="3880">
        <v>45292</v>
      </c>
      <c r="AG214" s="3881" t="s">
        <v>65</v>
      </c>
      <c r="AH214" s="4116">
        <v>45473</v>
      </c>
      <c r="AI214" s="3881" t="s">
        <v>65</v>
      </c>
      <c r="AJ214" s="3878">
        <v>54.69</v>
      </c>
      <c r="AK214" s="3878"/>
      <c r="AL214" s="3879"/>
      <c r="AM214" s="3880">
        <v>45474</v>
      </c>
      <c r="AN214" s="3881" t="s">
        <v>65</v>
      </c>
      <c r="AO214" s="3880">
        <v>45657</v>
      </c>
      <c r="AP214" s="3881" t="s">
        <v>65</v>
      </c>
      <c r="AQ214" s="3878">
        <v>54.69</v>
      </c>
      <c r="AR214" s="3878"/>
      <c r="AS214" s="3879"/>
      <c r="AT214" s="3880">
        <v>45658</v>
      </c>
      <c r="AU214" s="3881" t="s">
        <v>65</v>
      </c>
      <c r="AV214" s="3880">
        <v>45838</v>
      </c>
      <c r="AW214" s="3881" t="s">
        <v>65</v>
      </c>
      <c r="AX214" s="3878">
        <v>57.43</v>
      </c>
      <c r="AY214" s="3878"/>
      <c r="AZ214" s="3879"/>
      <c r="BA214" s="3880">
        <v>45839</v>
      </c>
      <c r="BB214" s="3881" t="s">
        <v>65</v>
      </c>
      <c r="BC214" s="3880">
        <v>46022</v>
      </c>
      <c r="BD214" s="3881" t="s">
        <v>65</v>
      </c>
      <c r="BE214" s="3878">
        <v>62.55</v>
      </c>
      <c r="BF214" s="3878"/>
      <c r="BG214" s="3879"/>
      <c r="BH214" s="3880">
        <v>46023</v>
      </c>
      <c r="BI214" s="3881" t="s">
        <v>65</v>
      </c>
      <c r="BJ214" s="3880">
        <v>46203</v>
      </c>
      <c r="BK214" s="3881" t="s">
        <v>65</v>
      </c>
      <c r="BL214" s="3878">
        <v>68.84</v>
      </c>
      <c r="BM214" s="3878"/>
      <c r="BN214" s="3879"/>
      <c r="BO214" s="3880">
        <v>46204</v>
      </c>
      <c r="BP214" s="3881" t="s">
        <v>65</v>
      </c>
      <c r="BQ214" s="3880">
        <v>46387</v>
      </c>
      <c r="BR214" s="3881" t="s">
        <v>65</v>
      </c>
      <c r="BS214" s="3878">
        <v>68.84</v>
      </c>
      <c r="BT214" s="3878"/>
      <c r="BU214" s="3879"/>
      <c r="BV214" s="3880">
        <v>46388</v>
      </c>
      <c r="BW214" s="3881" t="s">
        <v>65</v>
      </c>
      <c r="BX214" s="3880">
        <v>46568</v>
      </c>
      <c r="BY214" s="3881" t="s">
        <v>65</v>
      </c>
      <c r="BZ214" s="3878">
        <v>74.46</v>
      </c>
      <c r="CA214" s="3878"/>
      <c r="CB214" s="3879"/>
      <c r="CC214" s="3880">
        <v>46569</v>
      </c>
      <c r="CD214" s="3881" t="s">
        <v>65</v>
      </c>
      <c r="CE214" s="3880">
        <v>46752</v>
      </c>
      <c r="CF214" s="3881" t="s">
        <v>65</v>
      </c>
      <c r="CG214" s="3878">
        <v>74.46</v>
      </c>
      <c r="CH214" s="3878"/>
      <c r="CI214" s="3879"/>
      <c r="CJ214" s="3880">
        <v>46753</v>
      </c>
      <c r="CK214" s="3881" t="s">
        <v>65</v>
      </c>
      <c r="CL214" s="3880">
        <v>46934</v>
      </c>
      <c r="CM214" s="3881" t="s">
        <v>65</v>
      </c>
      <c r="CN214" s="3878">
        <v>81.66</v>
      </c>
      <c r="CO214" s="3878"/>
      <c r="CP214" s="3879"/>
      <c r="CQ214" s="3880">
        <v>46935</v>
      </c>
      <c r="CR214" s="3881" t="s">
        <v>65</v>
      </c>
      <c r="CS214" s="3880">
        <v>47118</v>
      </c>
      <c r="CT214" s="3881" t="s">
        <v>65</v>
      </c>
      <c r="CU214" s="4199"/>
      <c r="CV21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4" s="4093">
        <f>STRCHECKDATE(V215:CU215)</f>
      </c>
      <c r="CX214" s="4196"/>
      <c r="CY214" s="4196" t="str">
        <f>IF(T214="","",T214)</f>
        <v/>
      </c>
      <c r="CZ214" s="4196"/>
      <c r="DA214" s="4196"/>
      <c r="DB214" s="3858">
        <v>0</v>
      </c>
    </row>
    <row s="8094" customFormat="1" customHeight="1" ht="14.25">
      <c r="A215" s="4183"/>
      <c r="B215" s="4183"/>
      <c r="C215" s="4183"/>
      <c r="D215" s="4183"/>
      <c r="E215" s="4184"/>
      <c r="F215" s="4184"/>
      <c r="G215" s="4184"/>
      <c r="H215" s="4184"/>
      <c r="I215" s="4185"/>
      <c r="J215" s="4185" t="str">
        <f>I208&amp;".1"</f>
        <v>1.9.1.1.1</v>
      </c>
      <c r="K215" s="4186"/>
      <c r="L215" s="4187"/>
      <c r="M215" s="4188"/>
      <c r="N215" s="4188"/>
      <c r="O215" s="4188"/>
      <c r="P215" s="4189"/>
      <c r="Q215" s="4189"/>
      <c r="R215" s="4191"/>
      <c r="S215" s="4202"/>
      <c r="T215" s="4194"/>
      <c r="U215" s="4194"/>
      <c r="V215" s="3885"/>
      <c r="W215" s="3885"/>
      <c r="X215" s="3886" t="str">
        <f>Y214&amp;"-"&amp;AA214</f>
        <v>-</v>
      </c>
      <c r="Y215" s="3887"/>
      <c r="Z215" s="3881"/>
      <c r="AA215" s="3887"/>
      <c r="AB215" s="3881"/>
      <c r="AC215" s="3885"/>
      <c r="AD215" s="3885"/>
      <c r="AE215" s="3886" t="str">
        <f>AF214&amp;"-"&amp;AH214</f>
        <v>45292-45473</v>
      </c>
      <c r="AF215" s="3887"/>
      <c r="AG215" s="3881"/>
      <c r="AH215" s="4118"/>
      <c r="AI215" s="3881"/>
      <c r="AJ215" s="3885"/>
      <c r="AK215" s="3885"/>
      <c r="AL215" s="3886" t="str">
        <f>AM214&amp;"-"&amp;AO214</f>
        <v>45474-45657</v>
      </c>
      <c r="AM215" s="3887"/>
      <c r="AN215" s="3881"/>
      <c r="AO215" s="3887"/>
      <c r="AP215" s="3881"/>
      <c r="AQ215" s="3885"/>
      <c r="AR215" s="3885"/>
      <c r="AS215" s="3886" t="str">
        <f>AT214&amp;"-"&amp;AV214</f>
        <v>45658-45838</v>
      </c>
      <c r="AT215" s="3887"/>
      <c r="AU215" s="3881"/>
      <c r="AV215" s="3887"/>
      <c r="AW215" s="3881"/>
      <c r="AX215" s="3885"/>
      <c r="AY215" s="3885"/>
      <c r="AZ215" s="3886" t="str">
        <f>BA214&amp;"-"&amp;BC214</f>
        <v>45839-46022</v>
      </c>
      <c r="BA215" s="3887"/>
      <c r="BB215" s="3881"/>
      <c r="BC215" s="3887"/>
      <c r="BD215" s="3881"/>
      <c r="BE215" s="3885"/>
      <c r="BF215" s="3885"/>
      <c r="BG215" s="3886" t="str">
        <f>BH214&amp;"-"&amp;BJ214</f>
        <v>46023-46203</v>
      </c>
      <c r="BH215" s="3887"/>
      <c r="BI215" s="3881"/>
      <c r="BJ215" s="3887"/>
      <c r="BK215" s="3881"/>
      <c r="BL215" s="3885"/>
      <c r="BM215" s="3885"/>
      <c r="BN215" s="3886" t="str">
        <f>BO214&amp;"-"&amp;BQ214</f>
        <v>46204-46387</v>
      </c>
      <c r="BO215" s="3887"/>
      <c r="BP215" s="3881"/>
      <c r="BQ215" s="3887"/>
      <c r="BR215" s="3881"/>
      <c r="BS215" s="3885"/>
      <c r="BT215" s="3885"/>
      <c r="BU215" s="3886" t="str">
        <f>BV214&amp;"-"&amp;BX214</f>
        <v>46388-46568</v>
      </c>
      <c r="BV215" s="3887"/>
      <c r="BW215" s="3881"/>
      <c r="BX215" s="3887"/>
      <c r="BY215" s="3881"/>
      <c r="BZ215" s="3885"/>
      <c r="CA215" s="3885"/>
      <c r="CB215" s="3886" t="str">
        <f>CC214&amp;"-"&amp;CE214</f>
        <v>46569-46752</v>
      </c>
      <c r="CC215" s="3887"/>
      <c r="CD215" s="3881"/>
      <c r="CE215" s="3887"/>
      <c r="CF215" s="3881"/>
      <c r="CG215" s="3885"/>
      <c r="CH215" s="3885"/>
      <c r="CI215" s="3886" t="str">
        <f>CJ214&amp;"-"&amp;CL214</f>
        <v>46753-46934</v>
      </c>
      <c r="CJ215" s="3887"/>
      <c r="CK215" s="3881"/>
      <c r="CL215" s="3887"/>
      <c r="CM215" s="3881"/>
      <c r="CN215" s="3885"/>
      <c r="CO215" s="3885"/>
      <c r="CP215" s="3886" t="str">
        <f>CQ214&amp;"-"&amp;CS214</f>
        <v>46935-47118</v>
      </c>
      <c r="CQ215" s="3887"/>
      <c r="CR215" s="3881"/>
      <c r="CS215" s="3887"/>
      <c r="CT215" s="3881"/>
      <c r="CU215" s="4203"/>
      <c r="CV215" s="4200"/>
      <c r="CW215" s="4093"/>
      <c r="CX215" s="4196"/>
      <c r="CY215" s="4196" t="str">
        <f>IF(T215="","",T215)</f>
        <v/>
      </c>
      <c r="CZ215" s="4196"/>
      <c r="DA215" s="4196"/>
      <c r="DB215" s="3858">
        <v>0</v>
      </c>
    </row>
    <row s="8095" customFormat="1" customHeight="1" ht="21">
      <c r="A216" s="4183"/>
      <c r="B216" s="4183"/>
      <c r="C216" s="4183"/>
      <c r="D216" s="4183"/>
      <c r="E216" s="4184"/>
      <c r="F216" s="4184"/>
      <c r="G216" s="4184"/>
      <c r="H216" s="4184"/>
      <c r="I216" s="4185"/>
      <c r="J216" s="4186" t="str">
        <f>I208&amp;".1"</f>
        <v>1.9.1.1.1</v>
      </c>
      <c r="K216" s="4183"/>
      <c r="L216" s="4187"/>
      <c r="M216" s="4188"/>
      <c r="N216" s="4188"/>
      <c r="O216" s="4188"/>
      <c r="P216" s="4189"/>
      <c r="Q216" s="4189"/>
      <c r="R216" s="4205"/>
      <c r="S216" s="8096"/>
      <c r="T216" s="8097" t="s">
        <v>615</v>
      </c>
      <c r="U216" s="8098"/>
      <c r="V216" s="8099"/>
      <c r="W216" s="8100"/>
      <c r="X216" s="8101"/>
      <c r="Y216" s="8102"/>
      <c r="Z216" s="8103"/>
      <c r="AA216" s="8104"/>
      <c r="AB216" s="8105"/>
      <c r="AC216" s="8106"/>
      <c r="AD216" s="8107"/>
      <c r="AE216" s="8108"/>
      <c r="AF216" s="8109"/>
      <c r="AG216" s="8110"/>
      <c r="AH216" s="8111"/>
      <c r="AI216" s="8112"/>
      <c r="AJ216" s="8113"/>
      <c r="AK216" s="8114"/>
      <c r="AL216" s="8115"/>
      <c r="AM216" s="8116"/>
      <c r="AN216" s="8117"/>
      <c r="AO216" s="8118"/>
      <c r="AP216" s="8119"/>
      <c r="AQ216" s="8120"/>
      <c r="AR216" s="8121"/>
      <c r="AS216" s="8122"/>
      <c r="AT216" s="8123"/>
      <c r="AU216" s="8124"/>
      <c r="AV216" s="8125"/>
      <c r="AW216" s="8126"/>
      <c r="AX216" s="8127"/>
      <c r="AY216" s="8128"/>
      <c r="AZ216" s="8129"/>
      <c r="BA216" s="8130"/>
      <c r="BB216" s="8131"/>
      <c r="BC216" s="8132"/>
      <c r="BD216" s="8133"/>
      <c r="BE216" s="8134"/>
      <c r="BF216" s="8135"/>
      <c r="BG216" s="8136"/>
      <c r="BH216" s="8137"/>
      <c r="BI216" s="8138"/>
      <c r="BJ216" s="8139"/>
      <c r="BK216" s="8140"/>
      <c r="BL216" s="8141"/>
      <c r="BM216" s="8142"/>
      <c r="BN216" s="8143"/>
      <c r="BO216" s="8144"/>
      <c r="BP216" s="8145"/>
      <c r="BQ216" s="8146"/>
      <c r="BR216" s="8147"/>
      <c r="BS216" s="8148"/>
      <c r="BT216" s="8149"/>
      <c r="BU216" s="8150"/>
      <c r="BV216" s="8151"/>
      <c r="BW216" s="8152"/>
      <c r="BX216" s="8153"/>
      <c r="BY216" s="8154"/>
      <c r="BZ216" s="8155"/>
      <c r="CA216" s="8156"/>
      <c r="CB216" s="8157"/>
      <c r="CC216" s="8158"/>
      <c r="CD216" s="8159"/>
      <c r="CE216" s="8160"/>
      <c r="CF216" s="8161"/>
      <c r="CG216" s="8162"/>
      <c r="CH216" s="8163"/>
      <c r="CI216" s="8164"/>
      <c r="CJ216" s="8165"/>
      <c r="CK216" s="8166"/>
      <c r="CL216" s="8167"/>
      <c r="CM216" s="8168"/>
      <c r="CN216" s="8169"/>
      <c r="CO216" s="8170"/>
      <c r="CP216" s="8171"/>
      <c r="CQ216" s="8172"/>
      <c r="CR216" s="8173"/>
      <c r="CS216" s="8174"/>
      <c r="CT216" s="8175"/>
      <c r="CU216" s="8176"/>
      <c r="CV216" s="4287" t="s">
        <v>616</v>
      </c>
      <c r="CW216" s="4093"/>
      <c r="CX216" s="4196"/>
      <c r="CY216" s="4196" t="str">
        <f>IF(T216="","",T216)</f>
        <v>Добавить значение признака дифференциации</v>
      </c>
      <c r="CZ216" s="4196"/>
      <c r="DA216" s="4196"/>
      <c r="DB216" s="3858">
        <v>0</v>
      </c>
    </row>
    <row s="8177" customFormat="1" customHeight="1" ht="23.25">
      <c r="A217" s="4183"/>
      <c r="B217" s="4183"/>
      <c r="C217" s="4183"/>
      <c r="D217" s="4183"/>
      <c r="E217" s="4184"/>
      <c r="F217" s="4184"/>
      <c r="G217" s="4184"/>
      <c r="H217" s="4184"/>
      <c r="I217" s="4185"/>
      <c r="J217" s="4186" t="str">
        <f>I208&amp;".3"</f>
        <v>1.9.1.1.3</v>
      </c>
      <c r="K217" s="4183"/>
      <c r="L217" s="4187" t="s">
        <v>538</v>
      </c>
      <c r="M217" s="4188"/>
      <c r="N217" s="4188"/>
      <c r="O217" s="4188"/>
      <c r="P217" s="4189"/>
      <c r="Q217" s="4190" t="s">
        <v>109</v>
      </c>
      <c r="R217" s="4191"/>
      <c r="S217" s="4192" t="str">
        <f>$J217</f>
        <v>1.9.1.1.3</v>
      </c>
      <c r="T217" s="4193" t="s">
        <v>539</v>
      </c>
      <c r="U217" s="4194"/>
      <c r="V217" s="3874"/>
      <c r="W217" s="3875"/>
      <c r="X217" s="3875"/>
      <c r="Y217" s="3875"/>
      <c r="Z217" s="3875"/>
      <c r="AA217" s="3875"/>
      <c r="AB217" s="3876"/>
      <c r="AC217" s="3874" t="s">
        <v>627</v>
      </c>
      <c r="AD217" s="3875"/>
      <c r="AE217" s="3875"/>
      <c r="AF217" s="3875"/>
      <c r="AG217" s="3875"/>
      <c r="AH217" s="3875"/>
      <c r="AI217" s="3875"/>
      <c r="AJ217" s="3874"/>
      <c r="AK217" s="3875"/>
      <c r="AL217" s="3875"/>
      <c r="AM217" s="3875"/>
      <c r="AN217" s="3875"/>
      <c r="AO217" s="3875"/>
      <c r="AP217" s="3876"/>
      <c r="AQ217" s="3874"/>
      <c r="AR217" s="3875"/>
      <c r="AS217" s="3875"/>
      <c r="AT217" s="3875"/>
      <c r="AU217" s="3875"/>
      <c r="AV217" s="3875"/>
      <c r="AW217" s="3876"/>
      <c r="AX217" s="3874"/>
      <c r="AY217" s="3875"/>
      <c r="AZ217" s="3875"/>
      <c r="BA217" s="3875"/>
      <c r="BB217" s="3875"/>
      <c r="BC217" s="3875"/>
      <c r="BD217" s="3876"/>
      <c r="BE217" s="3874"/>
      <c r="BF217" s="3875"/>
      <c r="BG217" s="3875"/>
      <c r="BH217" s="3875"/>
      <c r="BI217" s="3875"/>
      <c r="BJ217" s="3875"/>
      <c r="BK217" s="3876"/>
      <c r="BL217" s="3874"/>
      <c r="BM217" s="3875"/>
      <c r="BN217" s="3875"/>
      <c r="BO217" s="3875"/>
      <c r="BP217" s="3875"/>
      <c r="BQ217" s="3875"/>
      <c r="BR217" s="3876"/>
      <c r="BS217" s="3874"/>
      <c r="BT217" s="3875"/>
      <c r="BU217" s="3875"/>
      <c r="BV217" s="3875"/>
      <c r="BW217" s="3875"/>
      <c r="BX217" s="3875"/>
      <c r="BY217" s="3876"/>
      <c r="BZ217" s="3874"/>
      <c r="CA217" s="3875"/>
      <c r="CB217" s="3875"/>
      <c r="CC217" s="3875"/>
      <c r="CD217" s="3875"/>
      <c r="CE217" s="3875"/>
      <c r="CF217" s="3876"/>
      <c r="CG217" s="3874"/>
      <c r="CH217" s="3875"/>
      <c r="CI217" s="3875"/>
      <c r="CJ217" s="3875"/>
      <c r="CK217" s="3875"/>
      <c r="CL217" s="3875"/>
      <c r="CM217" s="3876"/>
      <c r="CN217" s="3874"/>
      <c r="CO217" s="3875"/>
      <c r="CP217" s="3875"/>
      <c r="CQ217" s="3875"/>
      <c r="CR217" s="3875"/>
      <c r="CS217" s="3875"/>
      <c r="CT217" s="3876"/>
      <c r="CU217" s="3876"/>
      <c r="CV217" s="4195" t="s">
        <v>614</v>
      </c>
      <c r="CW217" s="4093"/>
      <c r="CX217" s="4196"/>
      <c r="CY217" s="4196" t="str">
        <f>IF(T217="","",T217)</f>
        <v>Группа потребителей</v>
      </c>
      <c r="CZ217" s="4196"/>
      <c r="DA217" s="4196"/>
      <c r="DB217" s="3858">
        <v>0</v>
      </c>
    </row>
    <row s="8178" customFormat="1" customHeight="1" ht="23.25">
      <c r="A218" s="4183"/>
      <c r="B218" s="4183"/>
      <c r="C218" s="4183"/>
      <c r="D218" s="4183"/>
      <c r="E218" s="4184"/>
      <c r="F218" s="4184"/>
      <c r="G218" s="4184"/>
      <c r="H218" s="4184"/>
      <c r="I218" s="4185"/>
      <c r="J218" s="4185" t="str">
        <f>I208&amp;".2"</f>
        <v>1.9.1.1.2</v>
      </c>
      <c r="K218" s="4186" t="str">
        <f>J217&amp;".1"</f>
        <v>1.9.1.1.3.1</v>
      </c>
      <c r="L218" s="4187"/>
      <c r="M218" s="4188"/>
      <c r="N218" s="4188"/>
      <c r="O218" s="4188"/>
      <c r="P218" s="4189"/>
      <c r="Q218" s="4189"/>
      <c r="R218" s="4191">
        <v>1</v>
      </c>
      <c r="S218" s="4192" t="str">
        <f>$K218</f>
        <v>1.9.1.1.3.1</v>
      </c>
      <c r="T218" s="4198"/>
      <c r="U218" s="4194"/>
      <c r="V218" s="3878"/>
      <c r="W218" s="3878"/>
      <c r="X218" s="3879"/>
      <c r="Y218" s="3880"/>
      <c r="Z218" s="3881" t="s">
        <v>65</v>
      </c>
      <c r="AA218" s="3880"/>
      <c r="AB218" s="3881" t="s">
        <v>65</v>
      </c>
      <c r="AC218" s="3878">
        <v>47.8</v>
      </c>
      <c r="AD218" s="3878"/>
      <c r="AE218" s="3879"/>
      <c r="AF218" s="3880">
        <v>45292</v>
      </c>
      <c r="AG218" s="3881" t="s">
        <v>65</v>
      </c>
      <c r="AH218" s="4116">
        <v>45473</v>
      </c>
      <c r="AI218" s="3881" t="s">
        <v>65</v>
      </c>
      <c r="AJ218" s="3878">
        <v>54.69</v>
      </c>
      <c r="AK218" s="3878"/>
      <c r="AL218" s="3879"/>
      <c r="AM218" s="3880">
        <v>45474</v>
      </c>
      <c r="AN218" s="3881" t="s">
        <v>65</v>
      </c>
      <c r="AO218" s="3880">
        <v>45657</v>
      </c>
      <c r="AP218" s="3881" t="s">
        <v>65</v>
      </c>
      <c r="AQ218" s="3878">
        <v>54.69</v>
      </c>
      <c r="AR218" s="3878"/>
      <c r="AS218" s="3879"/>
      <c r="AT218" s="3880">
        <v>45658</v>
      </c>
      <c r="AU218" s="3881" t="s">
        <v>65</v>
      </c>
      <c r="AV218" s="3880">
        <v>45838</v>
      </c>
      <c r="AW218" s="3881" t="s">
        <v>65</v>
      </c>
      <c r="AX218" s="3878">
        <v>57.43</v>
      </c>
      <c r="AY218" s="3878"/>
      <c r="AZ218" s="3879"/>
      <c r="BA218" s="3880">
        <v>45839</v>
      </c>
      <c r="BB218" s="3881" t="s">
        <v>65</v>
      </c>
      <c r="BC218" s="3880">
        <v>46022</v>
      </c>
      <c r="BD218" s="3881" t="s">
        <v>65</v>
      </c>
      <c r="BE218" s="3878">
        <v>62.55</v>
      </c>
      <c r="BF218" s="3878"/>
      <c r="BG218" s="3879"/>
      <c r="BH218" s="3880">
        <v>46023</v>
      </c>
      <c r="BI218" s="3881" t="s">
        <v>65</v>
      </c>
      <c r="BJ218" s="3880">
        <v>46203</v>
      </c>
      <c r="BK218" s="3881" t="s">
        <v>65</v>
      </c>
      <c r="BL218" s="3878">
        <v>68.84</v>
      </c>
      <c r="BM218" s="3878"/>
      <c r="BN218" s="3879"/>
      <c r="BO218" s="3880">
        <v>46204</v>
      </c>
      <c r="BP218" s="3881" t="s">
        <v>65</v>
      </c>
      <c r="BQ218" s="3880">
        <v>46387</v>
      </c>
      <c r="BR218" s="3881" t="s">
        <v>65</v>
      </c>
      <c r="BS218" s="3878">
        <v>68.84</v>
      </c>
      <c r="BT218" s="3878"/>
      <c r="BU218" s="3879"/>
      <c r="BV218" s="3880">
        <v>46388</v>
      </c>
      <c r="BW218" s="3881" t="s">
        <v>65</v>
      </c>
      <c r="BX218" s="3880">
        <v>46568</v>
      </c>
      <c r="BY218" s="3881" t="s">
        <v>65</v>
      </c>
      <c r="BZ218" s="3878">
        <v>74.46</v>
      </c>
      <c r="CA218" s="3878"/>
      <c r="CB218" s="3879"/>
      <c r="CC218" s="3880">
        <v>46569</v>
      </c>
      <c r="CD218" s="3881" t="s">
        <v>65</v>
      </c>
      <c r="CE218" s="3880">
        <v>46752</v>
      </c>
      <c r="CF218" s="3881" t="s">
        <v>65</v>
      </c>
      <c r="CG218" s="3878">
        <v>74.46</v>
      </c>
      <c r="CH218" s="3878"/>
      <c r="CI218" s="3879"/>
      <c r="CJ218" s="3880">
        <v>46753</v>
      </c>
      <c r="CK218" s="3881" t="s">
        <v>65</v>
      </c>
      <c r="CL218" s="3880">
        <v>46934</v>
      </c>
      <c r="CM218" s="3881" t="s">
        <v>65</v>
      </c>
      <c r="CN218" s="3878">
        <v>81.66</v>
      </c>
      <c r="CO218" s="3878"/>
      <c r="CP218" s="3879"/>
      <c r="CQ218" s="3880">
        <v>46935</v>
      </c>
      <c r="CR218" s="3881" t="s">
        <v>65</v>
      </c>
      <c r="CS218" s="3880">
        <v>47118</v>
      </c>
      <c r="CT218" s="3881" t="s">
        <v>65</v>
      </c>
      <c r="CU218" s="4199"/>
      <c r="CV21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18" s="4093">
        <f>STRCHECKDATE(V219:CU219)</f>
      </c>
      <c r="CX218" s="4196"/>
      <c r="CY218" s="4196" t="str">
        <f>IF(T218="","",T218)</f>
        <v/>
      </c>
      <c r="CZ218" s="4196"/>
      <c r="DA218" s="4196"/>
      <c r="DB218" s="3858">
        <v>0</v>
      </c>
    </row>
    <row s="8179" customFormat="1" customHeight="1" ht="14.25">
      <c r="A219" s="4183"/>
      <c r="B219" s="4183"/>
      <c r="C219" s="4183"/>
      <c r="D219" s="4183"/>
      <c r="E219" s="4184"/>
      <c r="F219" s="4184"/>
      <c r="G219" s="4184"/>
      <c r="H219" s="4184"/>
      <c r="I219" s="4185"/>
      <c r="J219" s="4185" t="str">
        <f>I208&amp;".2"</f>
        <v>1.9.1.1.2</v>
      </c>
      <c r="K219" s="4186"/>
      <c r="L219" s="4187"/>
      <c r="M219" s="4188"/>
      <c r="N219" s="4188"/>
      <c r="O219" s="4188"/>
      <c r="P219" s="4189"/>
      <c r="Q219" s="4189"/>
      <c r="R219" s="4191"/>
      <c r="S219" s="4202"/>
      <c r="T219" s="4194"/>
      <c r="U219" s="4194"/>
      <c r="V219" s="3885"/>
      <c r="W219" s="3885"/>
      <c r="X219" s="3886" t="str">
        <f>Y218&amp;"-"&amp;AA218</f>
        <v>-</v>
      </c>
      <c r="Y219" s="3887"/>
      <c r="Z219" s="3881"/>
      <c r="AA219" s="3887"/>
      <c r="AB219" s="3881"/>
      <c r="AC219" s="3885"/>
      <c r="AD219" s="3885"/>
      <c r="AE219" s="3886" t="str">
        <f>AF218&amp;"-"&amp;AH218</f>
        <v>45292-45473</v>
      </c>
      <c r="AF219" s="3887"/>
      <c r="AG219" s="3881"/>
      <c r="AH219" s="4118"/>
      <c r="AI219" s="3881"/>
      <c r="AJ219" s="3885"/>
      <c r="AK219" s="3885"/>
      <c r="AL219" s="3886" t="str">
        <f>AM218&amp;"-"&amp;AO218</f>
        <v>45474-45657</v>
      </c>
      <c r="AM219" s="3887"/>
      <c r="AN219" s="3881"/>
      <c r="AO219" s="3887"/>
      <c r="AP219" s="3881"/>
      <c r="AQ219" s="3885"/>
      <c r="AR219" s="3885"/>
      <c r="AS219" s="3886" t="str">
        <f>AT218&amp;"-"&amp;AV218</f>
        <v>45658-45838</v>
      </c>
      <c r="AT219" s="3887"/>
      <c r="AU219" s="3881"/>
      <c r="AV219" s="3887"/>
      <c r="AW219" s="3881"/>
      <c r="AX219" s="3885"/>
      <c r="AY219" s="3885"/>
      <c r="AZ219" s="3886" t="str">
        <f>BA218&amp;"-"&amp;BC218</f>
        <v>45839-46022</v>
      </c>
      <c r="BA219" s="3887"/>
      <c r="BB219" s="3881"/>
      <c r="BC219" s="3887"/>
      <c r="BD219" s="3881"/>
      <c r="BE219" s="3885"/>
      <c r="BF219" s="3885"/>
      <c r="BG219" s="3886" t="str">
        <f>BH218&amp;"-"&amp;BJ218</f>
        <v>46023-46203</v>
      </c>
      <c r="BH219" s="3887"/>
      <c r="BI219" s="3881"/>
      <c r="BJ219" s="3887"/>
      <c r="BK219" s="3881"/>
      <c r="BL219" s="3885"/>
      <c r="BM219" s="3885"/>
      <c r="BN219" s="3886" t="str">
        <f>BO218&amp;"-"&amp;BQ218</f>
        <v>46204-46387</v>
      </c>
      <c r="BO219" s="3887"/>
      <c r="BP219" s="3881"/>
      <c r="BQ219" s="3887"/>
      <c r="BR219" s="3881"/>
      <c r="BS219" s="3885"/>
      <c r="BT219" s="3885"/>
      <c r="BU219" s="3886" t="str">
        <f>BV218&amp;"-"&amp;BX218</f>
        <v>46388-46568</v>
      </c>
      <c r="BV219" s="3887"/>
      <c r="BW219" s="3881"/>
      <c r="BX219" s="3887"/>
      <c r="BY219" s="3881"/>
      <c r="BZ219" s="3885"/>
      <c r="CA219" s="3885"/>
      <c r="CB219" s="3886" t="str">
        <f>CC218&amp;"-"&amp;CE218</f>
        <v>46569-46752</v>
      </c>
      <c r="CC219" s="3887"/>
      <c r="CD219" s="3881"/>
      <c r="CE219" s="3887"/>
      <c r="CF219" s="3881"/>
      <c r="CG219" s="3885"/>
      <c r="CH219" s="3885"/>
      <c r="CI219" s="3886" t="str">
        <f>CJ218&amp;"-"&amp;CL218</f>
        <v>46753-46934</v>
      </c>
      <c r="CJ219" s="3887"/>
      <c r="CK219" s="3881"/>
      <c r="CL219" s="3887"/>
      <c r="CM219" s="3881"/>
      <c r="CN219" s="3885"/>
      <c r="CO219" s="3885"/>
      <c r="CP219" s="3886" t="str">
        <f>CQ218&amp;"-"&amp;CS218</f>
        <v>46935-47118</v>
      </c>
      <c r="CQ219" s="3887"/>
      <c r="CR219" s="3881"/>
      <c r="CS219" s="3887"/>
      <c r="CT219" s="3881"/>
      <c r="CU219" s="4203"/>
      <c r="CV219" s="4200"/>
      <c r="CW219" s="4093"/>
      <c r="CX219" s="4196"/>
      <c r="CY219" s="4196" t="str">
        <f>IF(T219="","",T219)</f>
        <v/>
      </c>
      <c r="CZ219" s="4196"/>
      <c r="DA219" s="4196"/>
      <c r="DB219" s="3858">
        <v>0</v>
      </c>
    </row>
    <row s="8180" customFormat="1" customHeight="1" ht="21">
      <c r="A220" s="4183"/>
      <c r="B220" s="4183"/>
      <c r="C220" s="4183"/>
      <c r="D220" s="4183"/>
      <c r="E220" s="4184"/>
      <c r="F220" s="4184"/>
      <c r="G220" s="4184"/>
      <c r="H220" s="4184"/>
      <c r="I220" s="4185"/>
      <c r="J220" s="4186" t="str">
        <f>I208&amp;".2"</f>
        <v>1.9.1.1.2</v>
      </c>
      <c r="K220" s="4183"/>
      <c r="L220" s="4187"/>
      <c r="M220" s="4188"/>
      <c r="N220" s="4188"/>
      <c r="O220" s="4188"/>
      <c r="P220" s="4189"/>
      <c r="Q220" s="4189"/>
      <c r="R220" s="4205"/>
      <c r="S220" s="8181"/>
      <c r="T220" s="8182" t="s">
        <v>615</v>
      </c>
      <c r="U220" s="8183"/>
      <c r="V220" s="8184"/>
      <c r="W220" s="8185"/>
      <c r="X220" s="8186"/>
      <c r="Y220" s="8187"/>
      <c r="Z220" s="8188"/>
      <c r="AA220" s="8189"/>
      <c r="AB220" s="8190"/>
      <c r="AC220" s="8191"/>
      <c r="AD220" s="8192"/>
      <c r="AE220" s="8193"/>
      <c r="AF220" s="8194"/>
      <c r="AG220" s="8195"/>
      <c r="AH220" s="8196"/>
      <c r="AI220" s="8197"/>
      <c r="AJ220" s="8198"/>
      <c r="AK220" s="8199"/>
      <c r="AL220" s="8200"/>
      <c r="AM220" s="8201"/>
      <c r="AN220" s="8202"/>
      <c r="AO220" s="8203"/>
      <c r="AP220" s="8204"/>
      <c r="AQ220" s="8205"/>
      <c r="AR220" s="8206"/>
      <c r="AS220" s="8207"/>
      <c r="AT220" s="8208"/>
      <c r="AU220" s="8209"/>
      <c r="AV220" s="8210"/>
      <c r="AW220" s="8211"/>
      <c r="AX220" s="8212"/>
      <c r="AY220" s="8213"/>
      <c r="AZ220" s="8214"/>
      <c r="BA220" s="8215"/>
      <c r="BB220" s="8216"/>
      <c r="BC220" s="8217"/>
      <c r="BD220" s="8218"/>
      <c r="BE220" s="8219"/>
      <c r="BF220" s="8220"/>
      <c r="BG220" s="8221"/>
      <c r="BH220" s="8222"/>
      <c r="BI220" s="8223"/>
      <c r="BJ220" s="8224"/>
      <c r="BK220" s="8225"/>
      <c r="BL220" s="8226"/>
      <c r="BM220" s="8227"/>
      <c r="BN220" s="8228"/>
      <c r="BO220" s="8229"/>
      <c r="BP220" s="8230"/>
      <c r="BQ220" s="8231"/>
      <c r="BR220" s="8232"/>
      <c r="BS220" s="8233"/>
      <c r="BT220" s="8234"/>
      <c r="BU220" s="8235"/>
      <c r="BV220" s="8236"/>
      <c r="BW220" s="8237"/>
      <c r="BX220" s="8238"/>
      <c r="BY220" s="8239"/>
      <c r="BZ220" s="8240"/>
      <c r="CA220" s="8241"/>
      <c r="CB220" s="8242"/>
      <c r="CC220" s="8243"/>
      <c r="CD220" s="8244"/>
      <c r="CE220" s="8245"/>
      <c r="CF220" s="8246"/>
      <c r="CG220" s="8247"/>
      <c r="CH220" s="8248"/>
      <c r="CI220" s="8249"/>
      <c r="CJ220" s="8250"/>
      <c r="CK220" s="8251"/>
      <c r="CL220" s="8252"/>
      <c r="CM220" s="8253"/>
      <c r="CN220" s="8254"/>
      <c r="CO220" s="8255"/>
      <c r="CP220" s="8256"/>
      <c r="CQ220" s="8257"/>
      <c r="CR220" s="8258"/>
      <c r="CS220" s="8259"/>
      <c r="CT220" s="8260"/>
      <c r="CU220" s="8261"/>
      <c r="CV220" s="4287" t="s">
        <v>616</v>
      </c>
      <c r="CW220" s="4093"/>
      <c r="CX220" s="4196"/>
      <c r="CY220" s="4196" t="str">
        <f>IF(T220="","",T220)</f>
        <v>Добавить значение признака дифференциации</v>
      </c>
      <c r="CZ220" s="4196"/>
      <c r="DA220" s="4196"/>
      <c r="DB220" s="3858">
        <v>0</v>
      </c>
    </row>
    <row s="8262" customFormat="1" customHeight="1" ht="21">
      <c r="A221" s="4183"/>
      <c r="B221" s="4183"/>
      <c r="C221" s="4183"/>
      <c r="D221" s="4183"/>
      <c r="E221" s="4184"/>
      <c r="F221" s="4184" t="s">
        <v>135</v>
      </c>
      <c r="G221" s="4184"/>
      <c r="H221" s="4184"/>
      <c r="I221" s="4186"/>
      <c r="J221" s="4183"/>
      <c r="K221" s="4183"/>
      <c r="L221" s="4187"/>
      <c r="M221" s="4188"/>
      <c r="N221" s="4188"/>
      <c r="O221" s="4188"/>
      <c r="P221" s="4189"/>
      <c r="Q221" s="4189"/>
      <c r="R221" s="4205"/>
      <c r="S221" s="8263"/>
      <c r="T221" s="8264" t="s">
        <v>544</v>
      </c>
      <c r="U221" s="8265"/>
      <c r="V221" s="8266"/>
      <c r="W221" s="8267"/>
      <c r="X221" s="8268"/>
      <c r="Y221" s="8269"/>
      <c r="Z221" s="8270"/>
      <c r="AA221" s="8271"/>
      <c r="AB221" s="8272"/>
      <c r="AC221" s="8273"/>
      <c r="AD221" s="8274"/>
      <c r="AE221" s="8275"/>
      <c r="AF221" s="8276"/>
      <c r="AG221" s="8277"/>
      <c r="AH221" s="8278"/>
      <c r="AI221" s="8279"/>
      <c r="AJ221" s="8280"/>
      <c r="AK221" s="8281"/>
      <c r="AL221" s="8282"/>
      <c r="AM221" s="8283"/>
      <c r="AN221" s="8284"/>
      <c r="AO221" s="8285"/>
      <c r="AP221" s="8286"/>
      <c r="AQ221" s="8287"/>
      <c r="AR221" s="8288"/>
      <c r="AS221" s="8289"/>
      <c r="AT221" s="8290"/>
      <c r="AU221" s="8291"/>
      <c r="AV221" s="8292"/>
      <c r="AW221" s="8293"/>
      <c r="AX221" s="8294"/>
      <c r="AY221" s="8295"/>
      <c r="AZ221" s="8296"/>
      <c r="BA221" s="8297"/>
      <c r="BB221" s="8298"/>
      <c r="BC221" s="8299"/>
      <c r="BD221" s="8300"/>
      <c r="BE221" s="8301"/>
      <c r="BF221" s="8302"/>
      <c r="BG221" s="8303"/>
      <c r="BH221" s="8304"/>
      <c r="BI221" s="8305"/>
      <c r="BJ221" s="8306"/>
      <c r="BK221" s="8307"/>
      <c r="BL221" s="8308"/>
      <c r="BM221" s="8309"/>
      <c r="BN221" s="8310"/>
      <c r="BO221" s="8311"/>
      <c r="BP221" s="8312"/>
      <c r="BQ221" s="8313"/>
      <c r="BR221" s="8314"/>
      <c r="BS221" s="8315"/>
      <c r="BT221" s="8316"/>
      <c r="BU221" s="8317"/>
      <c r="BV221" s="8318"/>
      <c r="BW221" s="8319"/>
      <c r="BX221" s="8320"/>
      <c r="BY221" s="8321"/>
      <c r="BZ221" s="8322"/>
      <c r="CA221" s="8323"/>
      <c r="CB221" s="8324"/>
      <c r="CC221" s="8325"/>
      <c r="CD221" s="8326"/>
      <c r="CE221" s="8327"/>
      <c r="CF221" s="8328"/>
      <c r="CG221" s="8329"/>
      <c r="CH221" s="8330"/>
      <c r="CI221" s="8331"/>
      <c r="CJ221" s="8332"/>
      <c r="CK221" s="8333"/>
      <c r="CL221" s="8334"/>
      <c r="CM221" s="8335"/>
      <c r="CN221" s="8336"/>
      <c r="CO221" s="8337"/>
      <c r="CP221" s="8338"/>
      <c r="CQ221" s="8339"/>
      <c r="CR221" s="8340"/>
      <c r="CS221" s="8341"/>
      <c r="CT221" s="8342"/>
      <c r="CU221" s="8343"/>
      <c r="CV221" s="8344"/>
      <c r="CW221" s="4093"/>
      <c r="CX221" s="4196"/>
      <c r="CY221" s="4196" t="str">
        <f>IF(T221="","",T221)</f>
        <v>Добавить группу потребителей</v>
      </c>
      <c r="CZ221" s="4196"/>
      <c r="DA221" s="4196"/>
      <c r="DB221" s="3858">
        <v>0</v>
      </c>
    </row>
    <row s="8345" customFormat="1" customHeight="1" ht="14.25">
      <c r="A222" s="4183"/>
      <c r="B222" s="4183"/>
      <c r="C222" s="4183"/>
      <c r="D222" s="4183"/>
      <c r="E222" s="4184"/>
      <c r="F222" s="4184" t="s">
        <v>135</v>
      </c>
      <c r="G222" s="4184"/>
      <c r="H222" s="4500"/>
      <c r="I222" s="4183"/>
      <c r="J222" s="4183"/>
      <c r="K222" s="4183"/>
      <c r="L222" s="4187"/>
      <c r="M222" s="4501"/>
      <c r="N222" s="4501"/>
      <c r="O222" s="4083"/>
      <c r="P222" s="4853"/>
      <c r="Q222" s="4854"/>
      <c r="R222" s="4855"/>
      <c r="S222" s="8346"/>
      <c r="T222" s="8347" t="s">
        <v>617</v>
      </c>
      <c r="U222" s="8348"/>
      <c r="V222" s="8349"/>
      <c r="W222" s="8350"/>
      <c r="X222" s="8351"/>
      <c r="Y222" s="8352"/>
      <c r="Z222" s="8353"/>
      <c r="AA222" s="8354"/>
      <c r="AB222" s="8355"/>
      <c r="AC222" s="8356"/>
      <c r="AD222" s="8357"/>
      <c r="AE222" s="8358"/>
      <c r="AF222" s="8359"/>
      <c r="AG222" s="8360"/>
      <c r="AH222" s="8361"/>
      <c r="AI222" s="8362"/>
      <c r="AJ222" s="8363"/>
      <c r="AK222" s="8364"/>
      <c r="AL222" s="8365"/>
      <c r="AM222" s="8366"/>
      <c r="AN222" s="8367"/>
      <c r="AO222" s="8368"/>
      <c r="AP222" s="8369"/>
      <c r="AQ222" s="8370"/>
      <c r="AR222" s="8371"/>
      <c r="AS222" s="8372"/>
      <c r="AT222" s="8373"/>
      <c r="AU222" s="8374"/>
      <c r="AV222" s="8375"/>
      <c r="AW222" s="8376"/>
      <c r="AX222" s="8377"/>
      <c r="AY222" s="8378"/>
      <c r="AZ222" s="8379"/>
      <c r="BA222" s="8380"/>
      <c r="BB222" s="8381"/>
      <c r="BC222" s="8382"/>
      <c r="BD222" s="8383"/>
      <c r="BE222" s="8384"/>
      <c r="BF222" s="8385"/>
      <c r="BG222" s="8386"/>
      <c r="BH222" s="8387"/>
      <c r="BI222" s="8388"/>
      <c r="BJ222" s="8389"/>
      <c r="BK222" s="8390"/>
      <c r="BL222" s="8391"/>
      <c r="BM222" s="8392"/>
      <c r="BN222" s="8393"/>
      <c r="BO222" s="8394"/>
      <c r="BP222" s="8395"/>
      <c r="BQ222" s="8396"/>
      <c r="BR222" s="8397"/>
      <c r="BS222" s="8398"/>
      <c r="BT222" s="8399"/>
      <c r="BU222" s="8400"/>
      <c r="BV222" s="8401"/>
      <c r="BW222" s="8402"/>
      <c r="BX222" s="8403"/>
      <c r="BY222" s="8404"/>
      <c r="BZ222" s="8405"/>
      <c r="CA222" s="8406"/>
      <c r="CB222" s="8407"/>
      <c r="CC222" s="8408"/>
      <c r="CD222" s="8409"/>
      <c r="CE222" s="8410"/>
      <c r="CF222" s="8411"/>
      <c r="CG222" s="8412"/>
      <c r="CH222" s="8413"/>
      <c r="CI222" s="8414"/>
      <c r="CJ222" s="8415"/>
      <c r="CK222" s="8416"/>
      <c r="CL222" s="8417"/>
      <c r="CM222" s="8418"/>
      <c r="CN222" s="8419"/>
      <c r="CO222" s="8420"/>
      <c r="CP222" s="8421"/>
      <c r="CQ222" s="8422"/>
      <c r="CR222" s="8423"/>
      <c r="CS222" s="8424"/>
      <c r="CT222" s="8425"/>
      <c r="CU222" s="8426"/>
      <c r="CV222" s="8427"/>
      <c r="CW222" s="4093"/>
      <c r="CX222" s="4196"/>
      <c r="CY222" s="4196" t="str">
        <f>IF(T222="","",T222)</f>
        <v>Добавить наименование признака дифференциации</v>
      </c>
      <c r="CZ222" s="4196"/>
      <c r="DA222" s="4196"/>
      <c r="DB222" s="3858">
        <v>0</v>
      </c>
    </row>
    <row s="8428" customFormat="1" customHeight="1" ht="14.25">
      <c r="A223" s="4939"/>
      <c r="B223" s="4939"/>
      <c r="C223" s="4939"/>
      <c r="D223" s="4939"/>
      <c r="E223" s="4184"/>
      <c r="F223" s="4500" t="s">
        <v>135</v>
      </c>
      <c r="G223" s="4939"/>
      <c r="H223" s="4939"/>
      <c r="I223" s="4939"/>
      <c r="J223" s="4939"/>
      <c r="K223" s="4939"/>
      <c r="L223" s="4940"/>
      <c r="M223" s="4941"/>
      <c r="N223" s="4941"/>
      <c r="O223" s="4093"/>
      <c r="P223" s="4942"/>
      <c r="Q223" s="4943"/>
      <c r="R223" s="4942"/>
      <c r="S223" s="4944"/>
      <c r="T223" s="4945" t="s">
        <v>302</v>
      </c>
      <c r="U223" s="4081"/>
      <c r="V223" s="4081"/>
      <c r="W223" s="4081"/>
      <c r="X223" s="4081"/>
      <c r="Y223" s="4081"/>
      <c r="Z223" s="4081"/>
      <c r="AA223" s="4081"/>
      <c r="AB223" s="4081"/>
      <c r="AC223" s="4081"/>
      <c r="AD223" s="4081"/>
      <c r="AE223" s="4081"/>
      <c r="AF223" s="4081"/>
      <c r="AG223" s="4081"/>
      <c r="AH223" s="4081"/>
      <c r="AI223" s="4081"/>
      <c r="AJ223" s="4081"/>
      <c r="AK223" s="4081"/>
      <c r="AL223" s="4081"/>
      <c r="AM223" s="4081"/>
      <c r="AN223" s="4081"/>
      <c r="AO223" s="4081"/>
      <c r="AP223" s="4081"/>
      <c r="AQ223" s="4081"/>
      <c r="AR223" s="4081"/>
      <c r="AS223" s="4081"/>
      <c r="AT223" s="4081"/>
      <c r="AU223" s="4081"/>
      <c r="AV223" s="4081"/>
      <c r="AW223" s="4081"/>
      <c r="AX223" s="4081"/>
      <c r="AY223" s="4081"/>
      <c r="AZ223" s="4081"/>
      <c r="BA223" s="4081"/>
      <c r="BB223" s="4081"/>
      <c r="BC223" s="4081"/>
      <c r="BD223" s="4081"/>
      <c r="BE223" s="4081"/>
      <c r="BF223" s="4081"/>
      <c r="BG223" s="4081"/>
      <c r="BH223" s="4081"/>
      <c r="BI223" s="4081"/>
      <c r="BJ223" s="4081"/>
      <c r="BK223" s="4081"/>
      <c r="BL223" s="4081"/>
      <c r="BM223" s="4081"/>
      <c r="BN223" s="4081"/>
      <c r="BO223" s="4081"/>
      <c r="BP223" s="4081"/>
      <c r="BQ223" s="4081"/>
      <c r="BR223" s="4081"/>
      <c r="BS223" s="4081"/>
      <c r="BT223" s="4081"/>
      <c r="BU223" s="4081"/>
      <c r="BV223" s="4081"/>
      <c r="BW223" s="4081"/>
      <c r="BX223" s="4081"/>
      <c r="BY223" s="4081"/>
      <c r="BZ223" s="4081"/>
      <c r="CA223" s="4081"/>
      <c r="CB223" s="4081"/>
      <c r="CC223" s="4081"/>
      <c r="CD223" s="4081"/>
      <c r="CE223" s="4081"/>
      <c r="CF223" s="4081"/>
      <c r="CG223" s="4081"/>
      <c r="CH223" s="4081"/>
      <c r="CI223" s="4081"/>
      <c r="CJ223" s="4081"/>
      <c r="CK223" s="4081"/>
      <c r="CL223" s="4081"/>
      <c r="CM223" s="4081"/>
      <c r="CN223" s="4081"/>
      <c r="CO223" s="4081"/>
      <c r="CP223" s="4081"/>
      <c r="CQ223" s="4081"/>
      <c r="CR223" s="4081"/>
      <c r="CS223" s="4081"/>
      <c r="CT223" s="4081"/>
      <c r="CU223" s="4081"/>
      <c r="CV223" s="4081"/>
      <c r="CW223" s="4093"/>
      <c r="CX223" s="4196"/>
      <c r="CY223" s="4196" t="str">
        <f>IF(T223="","",T223)</f>
        <v>Добавить централизованную систему для дифференциации</v>
      </c>
      <c r="CZ223" s="4196"/>
      <c r="DA223" s="4196"/>
      <c r="DB223" s="4093">
        <v>0</v>
      </c>
    </row>
    <row s="8429" customFormat="1" customHeight="1" ht="23.25">
      <c r="A224" s="4183"/>
      <c r="B224" s="4183" t="s">
        <v>331</v>
      </c>
      <c r="C224" s="4183"/>
      <c r="D224" s="4183"/>
      <c r="E224" s="4184"/>
      <c r="F224" s="4500" t="s">
        <v>145</v>
      </c>
      <c r="G224" s="4183"/>
      <c r="H224" s="4183"/>
      <c r="I224" s="4183"/>
      <c r="J224" s="4183"/>
      <c r="K224" s="4183"/>
      <c r="L224" s="4187"/>
      <c r="M224" s="4501"/>
      <c r="N224" s="4501"/>
      <c r="O224" s="4501"/>
      <c r="P224" s="4502"/>
      <c r="Q224" s="4503"/>
      <c r="R224" s="4504"/>
      <c r="S224" s="4192" t="str">
        <f>INDEX(PT_DIFFERENTIATION_NUM_TER,MATCH(B224,PT_DIFFERENTIATION_TER_ID,0))</f>
        <v>1.10</v>
      </c>
      <c r="T224" s="4505" t="s">
        <v>529</v>
      </c>
      <c r="U224" s="4194"/>
      <c r="V224" s="3860"/>
      <c r="W224" s="3861"/>
      <c r="X224" s="3861"/>
      <c r="Y224" s="3861"/>
      <c r="Z224" s="3861"/>
      <c r="AA224" s="3861"/>
      <c r="AB224" s="3862"/>
      <c r="AC224" s="3860" t="str">
        <f>INDEX(PT_DIFFERENTIATION_TER,MATCH(B224,PT_DIFFERENTIATION_TER_ID,0))</f>
        <v>Территория 10</v>
      </c>
      <c r="AD224" s="3861"/>
      <c r="AE224" s="3861"/>
      <c r="AF224" s="3861"/>
      <c r="AG224" s="3861"/>
      <c r="AH224" s="3861"/>
      <c r="AI224" s="3861"/>
      <c r="AJ224" s="3860"/>
      <c r="AK224" s="3861"/>
      <c r="AL224" s="3861"/>
      <c r="AM224" s="3861"/>
      <c r="AN224" s="3861"/>
      <c r="AO224" s="3861"/>
      <c r="AP224" s="3862"/>
      <c r="AQ224" s="3860"/>
      <c r="AR224" s="3861"/>
      <c r="AS224" s="3861"/>
      <c r="AT224" s="3861"/>
      <c r="AU224" s="3861"/>
      <c r="AV224" s="3861"/>
      <c r="AW224" s="3862"/>
      <c r="AX224" s="3860"/>
      <c r="AY224" s="3861"/>
      <c r="AZ224" s="3861"/>
      <c r="BA224" s="3861"/>
      <c r="BB224" s="3861"/>
      <c r="BC224" s="3861"/>
      <c r="BD224" s="3862"/>
      <c r="BE224" s="3860"/>
      <c r="BF224" s="3861"/>
      <c r="BG224" s="3861"/>
      <c r="BH224" s="3861"/>
      <c r="BI224" s="3861"/>
      <c r="BJ224" s="3861"/>
      <c r="BK224" s="3862"/>
      <c r="BL224" s="3860"/>
      <c r="BM224" s="3861"/>
      <c r="BN224" s="3861"/>
      <c r="BO224" s="3861"/>
      <c r="BP224" s="3861"/>
      <c r="BQ224" s="3861"/>
      <c r="BR224" s="3862"/>
      <c r="BS224" s="3860"/>
      <c r="BT224" s="3861"/>
      <c r="BU224" s="3861"/>
      <c r="BV224" s="3861"/>
      <c r="BW224" s="3861"/>
      <c r="BX224" s="3861"/>
      <c r="BY224" s="3862"/>
      <c r="BZ224" s="3860"/>
      <c r="CA224" s="3861"/>
      <c r="CB224" s="3861"/>
      <c r="CC224" s="3861"/>
      <c r="CD224" s="3861"/>
      <c r="CE224" s="3861"/>
      <c r="CF224" s="3862"/>
      <c r="CG224" s="3860"/>
      <c r="CH224" s="3861"/>
      <c r="CI224" s="3861"/>
      <c r="CJ224" s="3861"/>
      <c r="CK224" s="3861"/>
      <c r="CL224" s="3861"/>
      <c r="CM224" s="3862"/>
      <c r="CN224" s="3860"/>
      <c r="CO224" s="3861"/>
      <c r="CP224" s="3861"/>
      <c r="CQ224" s="3861"/>
      <c r="CR224" s="3861"/>
      <c r="CS224" s="3861"/>
      <c r="CT224" s="3862"/>
      <c r="CU224" s="3862"/>
      <c r="CV224" s="4287" t="s">
        <v>530</v>
      </c>
      <c r="CW224" s="4093"/>
      <c r="CX224" s="4196"/>
      <c r="CY224" s="4196" t="str">
        <f>IF(T224="","",T224)</f>
        <v>Территория действия тарифа</v>
      </c>
      <c r="CZ224" s="4196"/>
      <c r="DA224" s="4196"/>
      <c r="DB224" s="3858">
        <v>0</v>
      </c>
    </row>
    <row s="8430" customFormat="1" customHeight="1" ht="23.25">
      <c r="A225" s="4183"/>
      <c r="B225" s="4183"/>
      <c r="C225" s="4183" t="s">
        <v>332</v>
      </c>
      <c r="D225" s="4183"/>
      <c r="E225" s="4184"/>
      <c r="F225" s="4184" t="s">
        <v>140</v>
      </c>
      <c r="G225" s="4500">
        <v>1</v>
      </c>
      <c r="H225" s="4183"/>
      <c r="I225" s="4183"/>
      <c r="J225" s="4183"/>
      <c r="K225" s="4183"/>
      <c r="L225" s="4187"/>
      <c r="M225" s="4501"/>
      <c r="N225" s="4501"/>
      <c r="O225" s="4501"/>
      <c r="P225" s="4507"/>
      <c r="Q225" s="4503"/>
      <c r="R225" s="4504"/>
      <c r="S225" s="4192" t="str">
        <f>INDEX(PT_DIFFERENTIATION_NUM_CS,MATCH(C225,PT_DIFFERENTIATION_CS_ID,0))</f>
        <v>1.10.1</v>
      </c>
      <c r="T225" s="4508" t="s">
        <v>610</v>
      </c>
      <c r="U225" s="4194"/>
      <c r="V225" s="3860"/>
      <c r="W225" s="3861"/>
      <c r="X225" s="3861"/>
      <c r="Y225" s="3861"/>
      <c r="Z225" s="3861"/>
      <c r="AA225" s="3861"/>
      <c r="AB225" s="3862"/>
      <c r="AC225" s="3860" t="str">
        <f>INDEX(PT_DIFFERENTIATION_CS,MATCH(C225,PT_DIFFERENTIATION_CS_ID,0))</f>
        <v>без дифференциации</v>
      </c>
      <c r="AD225" s="3861"/>
      <c r="AE225" s="3861"/>
      <c r="AF225" s="3861"/>
      <c r="AG225" s="3861"/>
      <c r="AH225" s="3861"/>
      <c r="AI225" s="3861"/>
      <c r="AJ225" s="3860"/>
      <c r="AK225" s="3861"/>
      <c r="AL225" s="3861"/>
      <c r="AM225" s="3861"/>
      <c r="AN225" s="3861"/>
      <c r="AO225" s="3861"/>
      <c r="AP225" s="3862"/>
      <c r="AQ225" s="3860"/>
      <c r="AR225" s="3861"/>
      <c r="AS225" s="3861"/>
      <c r="AT225" s="3861"/>
      <c r="AU225" s="3861"/>
      <c r="AV225" s="3861"/>
      <c r="AW225" s="3862"/>
      <c r="AX225" s="3860"/>
      <c r="AY225" s="3861"/>
      <c r="AZ225" s="3861"/>
      <c r="BA225" s="3861"/>
      <c r="BB225" s="3861"/>
      <c r="BC225" s="3861"/>
      <c r="BD225" s="3862"/>
      <c r="BE225" s="3860"/>
      <c r="BF225" s="3861"/>
      <c r="BG225" s="3861"/>
      <c r="BH225" s="3861"/>
      <c r="BI225" s="3861"/>
      <c r="BJ225" s="3861"/>
      <c r="BK225" s="3862"/>
      <c r="BL225" s="3860"/>
      <c r="BM225" s="3861"/>
      <c r="BN225" s="3861"/>
      <c r="BO225" s="3861"/>
      <c r="BP225" s="3861"/>
      <c r="BQ225" s="3861"/>
      <c r="BR225" s="3862"/>
      <c r="BS225" s="3860"/>
      <c r="BT225" s="3861"/>
      <c r="BU225" s="3861"/>
      <c r="BV225" s="3861"/>
      <c r="BW225" s="3861"/>
      <c r="BX225" s="3861"/>
      <c r="BY225" s="3862"/>
      <c r="BZ225" s="3860"/>
      <c r="CA225" s="3861"/>
      <c r="CB225" s="3861"/>
      <c r="CC225" s="3861"/>
      <c r="CD225" s="3861"/>
      <c r="CE225" s="3861"/>
      <c r="CF225" s="3862"/>
      <c r="CG225" s="3860"/>
      <c r="CH225" s="3861"/>
      <c r="CI225" s="3861"/>
      <c r="CJ225" s="3861"/>
      <c r="CK225" s="3861"/>
      <c r="CL225" s="3861"/>
      <c r="CM225" s="3862"/>
      <c r="CN225" s="3860"/>
      <c r="CO225" s="3861"/>
      <c r="CP225" s="3861"/>
      <c r="CQ225" s="3861"/>
      <c r="CR225" s="3861"/>
      <c r="CS225" s="3861"/>
      <c r="CT225" s="3862"/>
      <c r="CU225" s="3862"/>
      <c r="CV225" s="4287" t="s">
        <v>611</v>
      </c>
      <c r="CW225" s="4093"/>
      <c r="CX225" s="4196"/>
      <c r="CY225" s="4196" t="str">
        <f>IF(T225="","",T225)</f>
        <v>Наименование централизованной системы холодного водоснабжения</v>
      </c>
      <c r="CZ225" s="4196"/>
      <c r="DA225" s="4196"/>
      <c r="DB225" s="3858">
        <v>0</v>
      </c>
    </row>
    <row s="8431" customFormat="1" customHeight="1" ht="23.25">
      <c r="A226" s="4183"/>
      <c r="B226" s="4183"/>
      <c r="C226" s="4183"/>
      <c r="D226" s="4183"/>
      <c r="E226" s="4184"/>
      <c r="F226" s="4184" t="s">
        <v>140</v>
      </c>
      <c r="G226" s="4184"/>
      <c r="H226" s="4184"/>
      <c r="I226" s="4186" t="str">
        <f>S225&amp;".1"</f>
        <v>1.10.1.1</v>
      </c>
      <c r="J226" s="4183"/>
      <c r="K226" s="4183"/>
      <c r="L226" s="4187"/>
      <c r="M226" s="4188"/>
      <c r="N226" s="4188"/>
      <c r="O226" s="4188"/>
      <c r="P226" s="4189">
        <v>1</v>
      </c>
      <c r="Q226" s="4189"/>
      <c r="R226" s="4205"/>
      <c r="S226" s="4192" t="str">
        <f>$I226</f>
        <v>1.10.1.1</v>
      </c>
      <c r="T226" s="4510" t="s">
        <v>612</v>
      </c>
      <c r="U226" s="4194"/>
      <c r="V226" s="3870"/>
      <c r="W226" s="3871"/>
      <c r="X226" s="3871"/>
      <c r="Y226" s="3871"/>
      <c r="Z226" s="3871"/>
      <c r="AA226" s="3871"/>
      <c r="AB226" s="3872"/>
      <c r="AC226" s="4511"/>
      <c r="AD226" s="4512"/>
      <c r="AE226" s="4512"/>
      <c r="AF226" s="4512"/>
      <c r="AG226" s="4512"/>
      <c r="AH226" s="4512"/>
      <c r="AI226" s="4512"/>
      <c r="AJ226" s="3870"/>
      <c r="AK226" s="3871"/>
      <c r="AL226" s="3871"/>
      <c r="AM226" s="3871"/>
      <c r="AN226" s="3871"/>
      <c r="AO226" s="3871"/>
      <c r="AP226" s="3872"/>
      <c r="AQ226" s="3870"/>
      <c r="AR226" s="3871"/>
      <c r="AS226" s="3871"/>
      <c r="AT226" s="3871"/>
      <c r="AU226" s="3871"/>
      <c r="AV226" s="3871"/>
      <c r="AW226" s="3872"/>
      <c r="AX226" s="3870"/>
      <c r="AY226" s="3871"/>
      <c r="AZ226" s="3871"/>
      <c r="BA226" s="3871"/>
      <c r="BB226" s="3871"/>
      <c r="BC226" s="3871"/>
      <c r="BD226" s="3872"/>
      <c r="BE226" s="3870"/>
      <c r="BF226" s="3871"/>
      <c r="BG226" s="3871"/>
      <c r="BH226" s="3871"/>
      <c r="BI226" s="3871"/>
      <c r="BJ226" s="3871"/>
      <c r="BK226" s="3872"/>
      <c r="BL226" s="3870"/>
      <c r="BM226" s="3871"/>
      <c r="BN226" s="3871"/>
      <c r="BO226" s="3871"/>
      <c r="BP226" s="3871"/>
      <c r="BQ226" s="3871"/>
      <c r="BR226" s="3872"/>
      <c r="BS226" s="3870"/>
      <c r="BT226" s="3871"/>
      <c r="BU226" s="3871"/>
      <c r="BV226" s="3871"/>
      <c r="BW226" s="3871"/>
      <c r="BX226" s="3871"/>
      <c r="BY226" s="3872"/>
      <c r="BZ226" s="3870"/>
      <c r="CA226" s="3871"/>
      <c r="CB226" s="3871"/>
      <c r="CC226" s="3871"/>
      <c r="CD226" s="3871"/>
      <c r="CE226" s="3871"/>
      <c r="CF226" s="3872"/>
      <c r="CG226" s="3870"/>
      <c r="CH226" s="3871"/>
      <c r="CI226" s="3871"/>
      <c r="CJ226" s="3871"/>
      <c r="CK226" s="3871"/>
      <c r="CL226" s="3871"/>
      <c r="CM226" s="3872"/>
      <c r="CN226" s="3870"/>
      <c r="CO226" s="3871"/>
      <c r="CP226" s="3871"/>
      <c r="CQ226" s="3871"/>
      <c r="CR226" s="3871"/>
      <c r="CS226" s="3871"/>
      <c r="CT226" s="3872"/>
      <c r="CU226" s="4513"/>
      <c r="CV226" s="4287" t="s">
        <v>613</v>
      </c>
      <c r="CW226" s="4093"/>
      <c r="CX226" s="4196"/>
      <c r="CY226" s="4196" t="str">
        <f>IF(T226="","",T226)</f>
        <v>Наименование признака дифференциации</v>
      </c>
      <c r="CZ226" s="4196"/>
      <c r="DA226" s="4196"/>
      <c r="DB226" s="3858">
        <v>0</v>
      </c>
    </row>
    <row s="8432" customFormat="1" customHeight="1" ht="23.25">
      <c r="A227" s="4183"/>
      <c r="B227" s="4183"/>
      <c r="C227" s="4183"/>
      <c r="D227" s="4183"/>
      <c r="E227" s="4184"/>
      <c r="F227" s="4184" t="s">
        <v>140</v>
      </c>
      <c r="G227" s="4184"/>
      <c r="H227" s="4184"/>
      <c r="I227" s="4185"/>
      <c r="J227" s="4186" t="str">
        <f>I226&amp;".1"</f>
        <v>1.10.1.1.1</v>
      </c>
      <c r="K227" s="4183"/>
      <c r="L227" s="4187" t="s">
        <v>538</v>
      </c>
      <c r="M227" s="4188"/>
      <c r="N227" s="4188"/>
      <c r="O227" s="4188"/>
      <c r="P227" s="4189"/>
      <c r="Q227" s="4189">
        <v>1</v>
      </c>
      <c r="R227" s="4191"/>
      <c r="S227" s="4192" t="str">
        <f>$J227</f>
        <v>1.10.1.1.1</v>
      </c>
      <c r="T227" s="4193" t="s">
        <v>539</v>
      </c>
      <c r="U227" s="4194"/>
      <c r="V227" s="3874"/>
      <c r="W227" s="3875"/>
      <c r="X227" s="3875"/>
      <c r="Y227" s="3875"/>
      <c r="Z227" s="3875"/>
      <c r="AA227" s="3875"/>
      <c r="AB227" s="3876"/>
      <c r="AC227" s="3874" t="s">
        <v>625</v>
      </c>
      <c r="AD227" s="3875"/>
      <c r="AE227" s="3875"/>
      <c r="AF227" s="3875"/>
      <c r="AG227" s="3875"/>
      <c r="AH227" s="3875"/>
      <c r="AI227" s="3875"/>
      <c r="AJ227" s="3874"/>
      <c r="AK227" s="3875"/>
      <c r="AL227" s="3875"/>
      <c r="AM227" s="3875"/>
      <c r="AN227" s="3875"/>
      <c r="AO227" s="3875"/>
      <c r="AP227" s="3876"/>
      <c r="AQ227" s="3874"/>
      <c r="AR227" s="3875"/>
      <c r="AS227" s="3875"/>
      <c r="AT227" s="3875"/>
      <c r="AU227" s="3875"/>
      <c r="AV227" s="3875"/>
      <c r="AW227" s="3876"/>
      <c r="AX227" s="3874"/>
      <c r="AY227" s="3875"/>
      <c r="AZ227" s="3875"/>
      <c r="BA227" s="3875"/>
      <c r="BB227" s="3875"/>
      <c r="BC227" s="3875"/>
      <c r="BD227" s="3876"/>
      <c r="BE227" s="3874"/>
      <c r="BF227" s="3875"/>
      <c r="BG227" s="3875"/>
      <c r="BH227" s="3875"/>
      <c r="BI227" s="3875"/>
      <c r="BJ227" s="3875"/>
      <c r="BK227" s="3876"/>
      <c r="BL227" s="3874"/>
      <c r="BM227" s="3875"/>
      <c r="BN227" s="3875"/>
      <c r="BO227" s="3875"/>
      <c r="BP227" s="3875"/>
      <c r="BQ227" s="3875"/>
      <c r="BR227" s="3876"/>
      <c r="BS227" s="3874"/>
      <c r="BT227" s="3875"/>
      <c r="BU227" s="3875"/>
      <c r="BV227" s="3875"/>
      <c r="BW227" s="3875"/>
      <c r="BX227" s="3875"/>
      <c r="BY227" s="3876"/>
      <c r="BZ227" s="3874"/>
      <c r="CA227" s="3875"/>
      <c r="CB227" s="3875"/>
      <c r="CC227" s="3875"/>
      <c r="CD227" s="3875"/>
      <c r="CE227" s="3875"/>
      <c r="CF227" s="3876"/>
      <c r="CG227" s="3874"/>
      <c r="CH227" s="3875"/>
      <c r="CI227" s="3875"/>
      <c r="CJ227" s="3875"/>
      <c r="CK227" s="3875"/>
      <c r="CL227" s="3875"/>
      <c r="CM227" s="3876"/>
      <c r="CN227" s="3874"/>
      <c r="CO227" s="3875"/>
      <c r="CP227" s="3875"/>
      <c r="CQ227" s="3875"/>
      <c r="CR227" s="3875"/>
      <c r="CS227" s="3875"/>
      <c r="CT227" s="3876"/>
      <c r="CU227" s="3876"/>
      <c r="CV227" s="4195" t="s">
        <v>614</v>
      </c>
      <c r="CW227" s="4093"/>
      <c r="CX227" s="4196"/>
      <c r="CY227" s="4196" t="str">
        <f>IF(T227="","",T227)</f>
        <v>Группа потребителей</v>
      </c>
      <c r="CZ227" s="4196"/>
      <c r="DA227" s="4196"/>
      <c r="DB227" s="3858">
        <v>0</v>
      </c>
    </row>
    <row s="8433" customFormat="1" customHeight="1" ht="23.25">
      <c r="A228" s="4183"/>
      <c r="B228" s="4183"/>
      <c r="C228" s="4183"/>
      <c r="D228" s="4183"/>
      <c r="E228" s="4184"/>
      <c r="F228" s="4184" t="s">
        <v>140</v>
      </c>
      <c r="G228" s="4184"/>
      <c r="H228" s="4184"/>
      <c r="I228" s="4185"/>
      <c r="J228" s="4185"/>
      <c r="K228" s="4186" t="str">
        <f>J227&amp;".1"</f>
        <v>1.10.1.1.1.1</v>
      </c>
      <c r="L228" s="4187"/>
      <c r="M228" s="4188"/>
      <c r="N228" s="4188"/>
      <c r="O228" s="4188"/>
      <c r="P228" s="4189"/>
      <c r="Q228" s="4189"/>
      <c r="R228" s="4191">
        <v>1</v>
      </c>
      <c r="S228" s="4192" t="str">
        <f>$K228</f>
        <v>1.10.1.1.1.1</v>
      </c>
      <c r="T228" s="4198"/>
      <c r="U228" s="4194"/>
      <c r="V228" s="3878"/>
      <c r="W228" s="3878"/>
      <c r="X228" s="3879"/>
      <c r="Y228" s="3880"/>
      <c r="Z228" s="3881" t="s">
        <v>65</v>
      </c>
      <c r="AA228" s="3880"/>
      <c r="AB228" s="3881" t="s">
        <v>65</v>
      </c>
      <c r="AC228" s="3878">
        <v>44.72</v>
      </c>
      <c r="AD228" s="3878"/>
      <c r="AE228" s="3879"/>
      <c r="AF228" s="3880">
        <v>45292</v>
      </c>
      <c r="AG228" s="3881" t="s">
        <v>65</v>
      </c>
      <c r="AH228" s="4116">
        <v>45473</v>
      </c>
      <c r="AI228" s="3881" t="s">
        <v>65</v>
      </c>
      <c r="AJ228" s="3878">
        <v>51.16</v>
      </c>
      <c r="AK228" s="3878"/>
      <c r="AL228" s="3879"/>
      <c r="AM228" s="3880">
        <v>45474</v>
      </c>
      <c r="AN228" s="3881" t="s">
        <v>65</v>
      </c>
      <c r="AO228" s="3880">
        <v>45657</v>
      </c>
      <c r="AP228" s="3881" t="s">
        <v>65</v>
      </c>
      <c r="AQ228" s="3878">
        <v>51.16</v>
      </c>
      <c r="AR228" s="3878"/>
      <c r="AS228" s="3879"/>
      <c r="AT228" s="3880">
        <v>45658</v>
      </c>
      <c r="AU228" s="3881" t="s">
        <v>65</v>
      </c>
      <c r="AV228" s="3880">
        <v>45838</v>
      </c>
      <c r="AW228" s="3881" t="s">
        <v>65</v>
      </c>
      <c r="AX228" s="3878">
        <v>58.32</v>
      </c>
      <c r="AY228" s="3878"/>
      <c r="AZ228" s="3879"/>
      <c r="BA228" s="3880">
        <v>45839</v>
      </c>
      <c r="BB228" s="3881" t="s">
        <v>65</v>
      </c>
      <c r="BC228" s="3880">
        <v>46022</v>
      </c>
      <c r="BD228" s="3881" t="s">
        <v>65</v>
      </c>
      <c r="BE228" s="3878">
        <v>54.08</v>
      </c>
      <c r="BF228" s="3878"/>
      <c r="BG228" s="3879"/>
      <c r="BH228" s="3880">
        <v>46023</v>
      </c>
      <c r="BI228" s="3881" t="s">
        <v>65</v>
      </c>
      <c r="BJ228" s="3880">
        <v>46203</v>
      </c>
      <c r="BK228" s="3881" t="s">
        <v>65</v>
      </c>
      <c r="BL228" s="3878">
        <v>56.24</v>
      </c>
      <c r="BM228" s="3878"/>
      <c r="BN228" s="3879"/>
      <c r="BO228" s="3880">
        <v>46204</v>
      </c>
      <c r="BP228" s="3881" t="s">
        <v>65</v>
      </c>
      <c r="BQ228" s="3880">
        <v>46387</v>
      </c>
      <c r="BR228" s="3881" t="s">
        <v>65</v>
      </c>
      <c r="BS228" s="3878">
        <v>56.24</v>
      </c>
      <c r="BT228" s="3878"/>
      <c r="BU228" s="3879"/>
      <c r="BV228" s="3880">
        <v>46388</v>
      </c>
      <c r="BW228" s="3881" t="s">
        <v>65</v>
      </c>
      <c r="BX228" s="3880">
        <v>46568</v>
      </c>
      <c r="BY228" s="3881" t="s">
        <v>65</v>
      </c>
      <c r="BZ228" s="3878">
        <v>58.49</v>
      </c>
      <c r="CA228" s="3878"/>
      <c r="CB228" s="3879"/>
      <c r="CC228" s="3880">
        <v>46569</v>
      </c>
      <c r="CD228" s="3881" t="s">
        <v>65</v>
      </c>
      <c r="CE228" s="3880">
        <v>46752</v>
      </c>
      <c r="CF228" s="3881" t="s">
        <v>65</v>
      </c>
      <c r="CG228" s="3878">
        <v>58.49</v>
      </c>
      <c r="CH228" s="3878"/>
      <c r="CI228" s="3879"/>
      <c r="CJ228" s="3880">
        <v>46753</v>
      </c>
      <c r="CK228" s="3881" t="s">
        <v>65</v>
      </c>
      <c r="CL228" s="3880">
        <v>46934</v>
      </c>
      <c r="CM228" s="3881" t="s">
        <v>65</v>
      </c>
      <c r="CN228" s="3878">
        <v>60.83</v>
      </c>
      <c r="CO228" s="3878"/>
      <c r="CP228" s="3879"/>
      <c r="CQ228" s="3880">
        <v>46935</v>
      </c>
      <c r="CR228" s="3881" t="s">
        <v>65</v>
      </c>
      <c r="CS228" s="3880">
        <v>47118</v>
      </c>
      <c r="CT228" s="3881" t="s">
        <v>65</v>
      </c>
      <c r="CU228" s="4199"/>
      <c r="CV22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28" s="4093">
        <f>STRCHECKDATE(V229:CU229)</f>
      </c>
      <c r="CX228" s="4196"/>
      <c r="CY228" s="4196" t="str">
        <f>IF(T228="","",T228)</f>
        <v/>
      </c>
      <c r="CZ228" s="4196"/>
      <c r="DA228" s="4196"/>
      <c r="DB228" s="3858">
        <v>0</v>
      </c>
    </row>
    <row s="8434" customFormat="1" customHeight="1" ht="14.25">
      <c r="A229" s="4183"/>
      <c r="B229" s="4183"/>
      <c r="C229" s="4183"/>
      <c r="D229" s="4183"/>
      <c r="E229" s="4184"/>
      <c r="F229" s="4184" t="s">
        <v>140</v>
      </c>
      <c r="G229" s="4184"/>
      <c r="H229" s="4184"/>
      <c r="I229" s="4185"/>
      <c r="J229" s="4185"/>
      <c r="K229" s="4186"/>
      <c r="L229" s="4187"/>
      <c r="M229" s="4188"/>
      <c r="N229" s="4188"/>
      <c r="O229" s="4188"/>
      <c r="P229" s="4189"/>
      <c r="Q229" s="4189"/>
      <c r="R229" s="4191"/>
      <c r="S229" s="4202"/>
      <c r="T229" s="4194"/>
      <c r="U229" s="4194"/>
      <c r="V229" s="3885"/>
      <c r="W229" s="3885"/>
      <c r="X229" s="3886" t="str">
        <f>Y228&amp;"-"&amp;AA228</f>
        <v>-</v>
      </c>
      <c r="Y229" s="3887"/>
      <c r="Z229" s="3881"/>
      <c r="AA229" s="3887"/>
      <c r="AB229" s="3881"/>
      <c r="AC229" s="3885"/>
      <c r="AD229" s="3885"/>
      <c r="AE229" s="3886" t="str">
        <f>AF228&amp;"-"&amp;AH228</f>
        <v>45292-45473</v>
      </c>
      <c r="AF229" s="3887"/>
      <c r="AG229" s="3881"/>
      <c r="AH229" s="4118"/>
      <c r="AI229" s="3881"/>
      <c r="AJ229" s="3885"/>
      <c r="AK229" s="3885"/>
      <c r="AL229" s="3886" t="str">
        <f>AM228&amp;"-"&amp;AO228</f>
        <v>45474-45657</v>
      </c>
      <c r="AM229" s="3887"/>
      <c r="AN229" s="3881"/>
      <c r="AO229" s="3887"/>
      <c r="AP229" s="3881"/>
      <c r="AQ229" s="3885"/>
      <c r="AR229" s="3885"/>
      <c r="AS229" s="3886" t="str">
        <f>AT228&amp;"-"&amp;AV228</f>
        <v>45658-45838</v>
      </c>
      <c r="AT229" s="3887"/>
      <c r="AU229" s="3881"/>
      <c r="AV229" s="3887"/>
      <c r="AW229" s="3881"/>
      <c r="AX229" s="3885"/>
      <c r="AY229" s="3885"/>
      <c r="AZ229" s="3886" t="str">
        <f>BA228&amp;"-"&amp;BC228</f>
        <v>45839-46022</v>
      </c>
      <c r="BA229" s="3887"/>
      <c r="BB229" s="3881"/>
      <c r="BC229" s="3887"/>
      <c r="BD229" s="3881"/>
      <c r="BE229" s="3885"/>
      <c r="BF229" s="3885"/>
      <c r="BG229" s="3886" t="str">
        <f>BH228&amp;"-"&amp;BJ228</f>
        <v>46023-46203</v>
      </c>
      <c r="BH229" s="3887"/>
      <c r="BI229" s="3881"/>
      <c r="BJ229" s="3887"/>
      <c r="BK229" s="3881"/>
      <c r="BL229" s="3885"/>
      <c r="BM229" s="3885"/>
      <c r="BN229" s="3886" t="str">
        <f>BO228&amp;"-"&amp;BQ228</f>
        <v>46204-46387</v>
      </c>
      <c r="BO229" s="3887"/>
      <c r="BP229" s="3881"/>
      <c r="BQ229" s="3887"/>
      <c r="BR229" s="3881"/>
      <c r="BS229" s="3885"/>
      <c r="BT229" s="3885"/>
      <c r="BU229" s="3886" t="str">
        <f>BV228&amp;"-"&amp;BX228</f>
        <v>46388-46568</v>
      </c>
      <c r="BV229" s="3887"/>
      <c r="BW229" s="3881"/>
      <c r="BX229" s="3887"/>
      <c r="BY229" s="3881"/>
      <c r="BZ229" s="3885"/>
      <c r="CA229" s="3885"/>
      <c r="CB229" s="3886" t="str">
        <f>CC228&amp;"-"&amp;CE228</f>
        <v>46569-46752</v>
      </c>
      <c r="CC229" s="3887"/>
      <c r="CD229" s="3881"/>
      <c r="CE229" s="3887"/>
      <c r="CF229" s="3881"/>
      <c r="CG229" s="3885"/>
      <c r="CH229" s="3885"/>
      <c r="CI229" s="3886" t="str">
        <f>CJ228&amp;"-"&amp;CL228</f>
        <v>46753-46934</v>
      </c>
      <c r="CJ229" s="3887"/>
      <c r="CK229" s="3881"/>
      <c r="CL229" s="3887"/>
      <c r="CM229" s="3881"/>
      <c r="CN229" s="3885"/>
      <c r="CO229" s="3885"/>
      <c r="CP229" s="3886" t="str">
        <f>CQ228&amp;"-"&amp;CS228</f>
        <v>46935-47118</v>
      </c>
      <c r="CQ229" s="3887"/>
      <c r="CR229" s="3881"/>
      <c r="CS229" s="3887"/>
      <c r="CT229" s="3881"/>
      <c r="CU229" s="4203"/>
      <c r="CV229" s="4200"/>
      <c r="CW229" s="4093"/>
      <c r="CX229" s="4196"/>
      <c r="CY229" s="4196" t="str">
        <f>IF(T229="","",T229)</f>
        <v/>
      </c>
      <c r="CZ229" s="4196"/>
      <c r="DA229" s="4196"/>
      <c r="DB229" s="3858">
        <v>0</v>
      </c>
    </row>
    <row s="8435" customFormat="1" customHeight="1" ht="21">
      <c r="A230" s="4183"/>
      <c r="B230" s="4183"/>
      <c r="C230" s="4183"/>
      <c r="D230" s="4183"/>
      <c r="E230" s="4184"/>
      <c r="F230" s="4184" t="s">
        <v>140</v>
      </c>
      <c r="G230" s="4184"/>
      <c r="H230" s="4184"/>
      <c r="I230" s="4185"/>
      <c r="J230" s="4186"/>
      <c r="K230" s="4183"/>
      <c r="L230" s="4187"/>
      <c r="M230" s="4188"/>
      <c r="N230" s="4188"/>
      <c r="O230" s="4188"/>
      <c r="P230" s="4189"/>
      <c r="Q230" s="4189"/>
      <c r="R230" s="4205"/>
      <c r="S230" s="8436"/>
      <c r="T230" s="8437" t="s">
        <v>615</v>
      </c>
      <c r="U230" s="8438"/>
      <c r="V230" s="8439"/>
      <c r="W230" s="8440"/>
      <c r="X230" s="8441"/>
      <c r="Y230" s="8442"/>
      <c r="Z230" s="8443"/>
      <c r="AA230" s="8444"/>
      <c r="AB230" s="8445"/>
      <c r="AC230" s="8446"/>
      <c r="AD230" s="8447"/>
      <c r="AE230" s="8448"/>
      <c r="AF230" s="8449"/>
      <c r="AG230" s="8450"/>
      <c r="AH230" s="8451"/>
      <c r="AI230" s="8452"/>
      <c r="AJ230" s="8453"/>
      <c r="AK230" s="8454"/>
      <c r="AL230" s="8455"/>
      <c r="AM230" s="8456"/>
      <c r="AN230" s="8457"/>
      <c r="AO230" s="8458"/>
      <c r="AP230" s="8459"/>
      <c r="AQ230" s="8460"/>
      <c r="AR230" s="8461"/>
      <c r="AS230" s="8462"/>
      <c r="AT230" s="8463"/>
      <c r="AU230" s="8464"/>
      <c r="AV230" s="8465"/>
      <c r="AW230" s="8466"/>
      <c r="AX230" s="8467"/>
      <c r="AY230" s="8468"/>
      <c r="AZ230" s="8469"/>
      <c r="BA230" s="8470"/>
      <c r="BB230" s="8471"/>
      <c r="BC230" s="8472"/>
      <c r="BD230" s="8473"/>
      <c r="BE230" s="8474"/>
      <c r="BF230" s="8475"/>
      <c r="BG230" s="8476"/>
      <c r="BH230" s="8477"/>
      <c r="BI230" s="8478"/>
      <c r="BJ230" s="8479"/>
      <c r="BK230" s="8480"/>
      <c r="BL230" s="8481"/>
      <c r="BM230" s="8482"/>
      <c r="BN230" s="8483"/>
      <c r="BO230" s="8484"/>
      <c r="BP230" s="8485"/>
      <c r="BQ230" s="8486"/>
      <c r="BR230" s="8487"/>
      <c r="BS230" s="8488"/>
      <c r="BT230" s="8489"/>
      <c r="BU230" s="8490"/>
      <c r="BV230" s="8491"/>
      <c r="BW230" s="8492"/>
      <c r="BX230" s="8493"/>
      <c r="BY230" s="8494"/>
      <c r="BZ230" s="8495"/>
      <c r="CA230" s="8496"/>
      <c r="CB230" s="8497"/>
      <c r="CC230" s="8498"/>
      <c r="CD230" s="8499"/>
      <c r="CE230" s="8500"/>
      <c r="CF230" s="8501"/>
      <c r="CG230" s="8502"/>
      <c r="CH230" s="8503"/>
      <c r="CI230" s="8504"/>
      <c r="CJ230" s="8505"/>
      <c r="CK230" s="8506"/>
      <c r="CL230" s="8507"/>
      <c r="CM230" s="8508"/>
      <c r="CN230" s="8509"/>
      <c r="CO230" s="8510"/>
      <c r="CP230" s="8511"/>
      <c r="CQ230" s="8512"/>
      <c r="CR230" s="8513"/>
      <c r="CS230" s="8514"/>
      <c r="CT230" s="8515"/>
      <c r="CU230" s="8516"/>
      <c r="CV230" s="4287" t="s">
        <v>616</v>
      </c>
      <c r="CW230" s="4093"/>
      <c r="CX230" s="4196"/>
      <c r="CY230" s="4196" t="str">
        <f>IF(T230="","",T230)</f>
        <v>Добавить значение признака дифференциации</v>
      </c>
      <c r="CZ230" s="4196"/>
      <c r="DA230" s="4196"/>
      <c r="DB230" s="3858">
        <v>0</v>
      </c>
    </row>
    <row s="8517" customFormat="1" customHeight="1" ht="23.25">
      <c r="A231" s="4183"/>
      <c r="B231" s="4183"/>
      <c r="C231" s="4183"/>
      <c r="D231" s="4183"/>
      <c r="E231" s="4184"/>
      <c r="F231" s="4184"/>
      <c r="G231" s="4184"/>
      <c r="H231" s="4184"/>
      <c r="I231" s="4185"/>
      <c r="J231" s="4186" t="str">
        <f>I226&amp;".2"</f>
        <v>1.10.1.1.2</v>
      </c>
      <c r="K231" s="4183"/>
      <c r="L231" s="4187" t="s">
        <v>538</v>
      </c>
      <c r="M231" s="4188"/>
      <c r="N231" s="4188"/>
      <c r="O231" s="4188"/>
      <c r="P231" s="4189"/>
      <c r="Q231" s="4190" t="s">
        <v>109</v>
      </c>
      <c r="R231" s="4191"/>
      <c r="S231" s="4192" t="str">
        <f>$J231</f>
        <v>1.10.1.1.2</v>
      </c>
      <c r="T231" s="4193" t="s">
        <v>539</v>
      </c>
      <c r="U231" s="4194"/>
      <c r="V231" s="3874"/>
      <c r="W231" s="3875"/>
      <c r="X231" s="3875"/>
      <c r="Y231" s="3875"/>
      <c r="Z231" s="3875"/>
      <c r="AA231" s="3875"/>
      <c r="AB231" s="3876"/>
      <c r="AC231" s="3874" t="s">
        <v>626</v>
      </c>
      <c r="AD231" s="3875"/>
      <c r="AE231" s="3875"/>
      <c r="AF231" s="3875"/>
      <c r="AG231" s="3875"/>
      <c r="AH231" s="3875"/>
      <c r="AI231" s="3875"/>
      <c r="AJ231" s="3874"/>
      <c r="AK231" s="3875"/>
      <c r="AL231" s="3875"/>
      <c r="AM231" s="3875"/>
      <c r="AN231" s="3875"/>
      <c r="AO231" s="3875"/>
      <c r="AP231" s="3876"/>
      <c r="AQ231" s="3874"/>
      <c r="AR231" s="3875"/>
      <c r="AS231" s="3875"/>
      <c r="AT231" s="3875"/>
      <c r="AU231" s="3875"/>
      <c r="AV231" s="3875"/>
      <c r="AW231" s="3876"/>
      <c r="AX231" s="3874"/>
      <c r="AY231" s="3875"/>
      <c r="AZ231" s="3875"/>
      <c r="BA231" s="3875"/>
      <c r="BB231" s="3875"/>
      <c r="BC231" s="3875"/>
      <c r="BD231" s="3876"/>
      <c r="BE231" s="3874"/>
      <c r="BF231" s="3875"/>
      <c r="BG231" s="3875"/>
      <c r="BH231" s="3875"/>
      <c r="BI231" s="3875"/>
      <c r="BJ231" s="3875"/>
      <c r="BK231" s="3876"/>
      <c r="BL231" s="3874"/>
      <c r="BM231" s="3875"/>
      <c r="BN231" s="3875"/>
      <c r="BO231" s="3875"/>
      <c r="BP231" s="3875"/>
      <c r="BQ231" s="3875"/>
      <c r="BR231" s="3876"/>
      <c r="BS231" s="3874"/>
      <c r="BT231" s="3875"/>
      <c r="BU231" s="3875"/>
      <c r="BV231" s="3875"/>
      <c r="BW231" s="3875"/>
      <c r="BX231" s="3875"/>
      <c r="BY231" s="3876"/>
      <c r="BZ231" s="3874"/>
      <c r="CA231" s="3875"/>
      <c r="CB231" s="3875"/>
      <c r="CC231" s="3875"/>
      <c r="CD231" s="3875"/>
      <c r="CE231" s="3875"/>
      <c r="CF231" s="3876"/>
      <c r="CG231" s="3874"/>
      <c r="CH231" s="3875"/>
      <c r="CI231" s="3875"/>
      <c r="CJ231" s="3875"/>
      <c r="CK231" s="3875"/>
      <c r="CL231" s="3875"/>
      <c r="CM231" s="3876"/>
      <c r="CN231" s="3874"/>
      <c r="CO231" s="3875"/>
      <c r="CP231" s="3875"/>
      <c r="CQ231" s="3875"/>
      <c r="CR231" s="3875"/>
      <c r="CS231" s="3875"/>
      <c r="CT231" s="3876"/>
      <c r="CU231" s="3876"/>
      <c r="CV231" s="4195" t="s">
        <v>614</v>
      </c>
      <c r="CW231" s="4093"/>
      <c r="CX231" s="4196"/>
      <c r="CY231" s="4196" t="str">
        <f>IF(T231="","",T231)</f>
        <v>Группа потребителей</v>
      </c>
      <c r="CZ231" s="4196"/>
      <c r="DA231" s="4196"/>
      <c r="DB231" s="3858">
        <v>0</v>
      </c>
    </row>
    <row s="8518" customFormat="1" customHeight="1" ht="23.25">
      <c r="A232" s="4183"/>
      <c r="B232" s="4183"/>
      <c r="C232" s="4183"/>
      <c r="D232" s="4183"/>
      <c r="E232" s="4184"/>
      <c r="F232" s="4184"/>
      <c r="G232" s="4184"/>
      <c r="H232" s="4184"/>
      <c r="I232" s="4185"/>
      <c r="J232" s="4185" t="str">
        <f>I226&amp;".1"</f>
        <v>1.10.1.1.1</v>
      </c>
      <c r="K232" s="4186" t="str">
        <f>J231&amp;".1"</f>
        <v>1.10.1.1.2.1</v>
      </c>
      <c r="L232" s="4187"/>
      <c r="M232" s="4188"/>
      <c r="N232" s="4188"/>
      <c r="O232" s="4188"/>
      <c r="P232" s="4189"/>
      <c r="Q232" s="4189"/>
      <c r="R232" s="4191">
        <v>1</v>
      </c>
      <c r="S232" s="4192" t="str">
        <f>$K232</f>
        <v>1.10.1.1.2.1</v>
      </c>
      <c r="T232" s="4198"/>
      <c r="U232" s="4194"/>
      <c r="V232" s="3878"/>
      <c r="W232" s="3878"/>
      <c r="X232" s="3879"/>
      <c r="Y232" s="3880"/>
      <c r="Z232" s="3881" t="s">
        <v>65</v>
      </c>
      <c r="AA232" s="3880"/>
      <c r="AB232" s="3881" t="s">
        <v>65</v>
      </c>
      <c r="AC232" s="3878">
        <v>47.8</v>
      </c>
      <c r="AD232" s="3878"/>
      <c r="AE232" s="3879"/>
      <c r="AF232" s="3880">
        <v>45292</v>
      </c>
      <c r="AG232" s="3881" t="s">
        <v>65</v>
      </c>
      <c r="AH232" s="4116">
        <v>45473</v>
      </c>
      <c r="AI232" s="3881" t="s">
        <v>65</v>
      </c>
      <c r="AJ232" s="3878">
        <v>54.69</v>
      </c>
      <c r="AK232" s="3878"/>
      <c r="AL232" s="3879"/>
      <c r="AM232" s="3880">
        <v>45474</v>
      </c>
      <c r="AN232" s="3881" t="s">
        <v>65</v>
      </c>
      <c r="AO232" s="3880">
        <v>45657</v>
      </c>
      <c r="AP232" s="3881" t="s">
        <v>65</v>
      </c>
      <c r="AQ232" s="3878">
        <v>54.69</v>
      </c>
      <c r="AR232" s="3878"/>
      <c r="AS232" s="3879"/>
      <c r="AT232" s="3880">
        <v>45658</v>
      </c>
      <c r="AU232" s="3881" t="s">
        <v>65</v>
      </c>
      <c r="AV232" s="3880">
        <v>45838</v>
      </c>
      <c r="AW232" s="3881" t="s">
        <v>65</v>
      </c>
      <c r="AX232" s="3878">
        <v>57.43</v>
      </c>
      <c r="AY232" s="3878"/>
      <c r="AZ232" s="3879"/>
      <c r="BA232" s="3880">
        <v>45839</v>
      </c>
      <c r="BB232" s="3881" t="s">
        <v>65</v>
      </c>
      <c r="BC232" s="3880">
        <v>46022</v>
      </c>
      <c r="BD232" s="3881" t="s">
        <v>65</v>
      </c>
      <c r="BE232" s="3878">
        <v>62.55</v>
      </c>
      <c r="BF232" s="3878"/>
      <c r="BG232" s="3879"/>
      <c r="BH232" s="3880">
        <v>46023</v>
      </c>
      <c r="BI232" s="3881" t="s">
        <v>65</v>
      </c>
      <c r="BJ232" s="3880">
        <v>46203</v>
      </c>
      <c r="BK232" s="3881" t="s">
        <v>65</v>
      </c>
      <c r="BL232" s="3878">
        <v>68.84</v>
      </c>
      <c r="BM232" s="3878"/>
      <c r="BN232" s="3879"/>
      <c r="BO232" s="3880">
        <v>46204</v>
      </c>
      <c r="BP232" s="3881" t="s">
        <v>65</v>
      </c>
      <c r="BQ232" s="3880">
        <v>46387</v>
      </c>
      <c r="BR232" s="3881" t="s">
        <v>65</v>
      </c>
      <c r="BS232" s="3878">
        <v>68.84</v>
      </c>
      <c r="BT232" s="3878"/>
      <c r="BU232" s="3879"/>
      <c r="BV232" s="3880">
        <v>46388</v>
      </c>
      <c r="BW232" s="3881" t="s">
        <v>65</v>
      </c>
      <c r="BX232" s="3880">
        <v>46568</v>
      </c>
      <c r="BY232" s="3881" t="s">
        <v>65</v>
      </c>
      <c r="BZ232" s="3878">
        <v>74.46</v>
      </c>
      <c r="CA232" s="3878"/>
      <c r="CB232" s="3879"/>
      <c r="CC232" s="3880">
        <v>46569</v>
      </c>
      <c r="CD232" s="3881" t="s">
        <v>65</v>
      </c>
      <c r="CE232" s="3880">
        <v>46752</v>
      </c>
      <c r="CF232" s="3881" t="s">
        <v>65</v>
      </c>
      <c r="CG232" s="3878">
        <v>74.46</v>
      </c>
      <c r="CH232" s="3878"/>
      <c r="CI232" s="3879"/>
      <c r="CJ232" s="3880">
        <v>46753</v>
      </c>
      <c r="CK232" s="3881" t="s">
        <v>65</v>
      </c>
      <c r="CL232" s="3880">
        <v>46934</v>
      </c>
      <c r="CM232" s="3881" t="s">
        <v>65</v>
      </c>
      <c r="CN232" s="3878">
        <v>81.66</v>
      </c>
      <c r="CO232" s="3878"/>
      <c r="CP232" s="3879"/>
      <c r="CQ232" s="3880">
        <v>46935</v>
      </c>
      <c r="CR232" s="3881" t="s">
        <v>65</v>
      </c>
      <c r="CS232" s="3880">
        <v>47118</v>
      </c>
      <c r="CT232" s="3881" t="s">
        <v>65</v>
      </c>
      <c r="CU232" s="4199"/>
      <c r="CV23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2" s="4093">
        <f>STRCHECKDATE(V233:CU233)</f>
      </c>
      <c r="CX232" s="4196"/>
      <c r="CY232" s="4196" t="str">
        <f>IF(T232="","",T232)</f>
        <v/>
      </c>
      <c r="CZ232" s="4196"/>
      <c r="DA232" s="4196"/>
      <c r="DB232" s="3858">
        <v>0</v>
      </c>
    </row>
    <row s="8519" customFormat="1" customHeight="1" ht="14.25">
      <c r="A233" s="4183"/>
      <c r="B233" s="4183"/>
      <c r="C233" s="4183"/>
      <c r="D233" s="4183"/>
      <c r="E233" s="4184"/>
      <c r="F233" s="4184"/>
      <c r="G233" s="4184"/>
      <c r="H233" s="4184"/>
      <c r="I233" s="4185"/>
      <c r="J233" s="4185" t="str">
        <f>I226&amp;".1"</f>
        <v>1.10.1.1.1</v>
      </c>
      <c r="K233" s="4186"/>
      <c r="L233" s="4187"/>
      <c r="M233" s="4188"/>
      <c r="N233" s="4188"/>
      <c r="O233" s="4188"/>
      <c r="P233" s="4189"/>
      <c r="Q233" s="4189"/>
      <c r="R233" s="4191"/>
      <c r="S233" s="4202"/>
      <c r="T233" s="4194"/>
      <c r="U233" s="4194"/>
      <c r="V233" s="3885"/>
      <c r="W233" s="3885"/>
      <c r="X233" s="3886" t="str">
        <f>Y232&amp;"-"&amp;AA232</f>
        <v>-</v>
      </c>
      <c r="Y233" s="3887"/>
      <c r="Z233" s="3881"/>
      <c r="AA233" s="3887"/>
      <c r="AB233" s="3881"/>
      <c r="AC233" s="3885"/>
      <c r="AD233" s="3885"/>
      <c r="AE233" s="3886" t="str">
        <f>AF232&amp;"-"&amp;AH232</f>
        <v>45292-45473</v>
      </c>
      <c r="AF233" s="3887"/>
      <c r="AG233" s="3881"/>
      <c r="AH233" s="4118"/>
      <c r="AI233" s="3881"/>
      <c r="AJ233" s="3885"/>
      <c r="AK233" s="3885"/>
      <c r="AL233" s="3886" t="str">
        <f>AM232&amp;"-"&amp;AO232</f>
        <v>45474-45657</v>
      </c>
      <c r="AM233" s="3887"/>
      <c r="AN233" s="3881"/>
      <c r="AO233" s="3887"/>
      <c r="AP233" s="3881"/>
      <c r="AQ233" s="3885"/>
      <c r="AR233" s="3885"/>
      <c r="AS233" s="3886" t="str">
        <f>AT232&amp;"-"&amp;AV232</f>
        <v>45658-45838</v>
      </c>
      <c r="AT233" s="3887"/>
      <c r="AU233" s="3881"/>
      <c r="AV233" s="3887"/>
      <c r="AW233" s="3881"/>
      <c r="AX233" s="3885"/>
      <c r="AY233" s="3885"/>
      <c r="AZ233" s="3886" t="str">
        <f>BA232&amp;"-"&amp;BC232</f>
        <v>45839-46022</v>
      </c>
      <c r="BA233" s="3887"/>
      <c r="BB233" s="3881"/>
      <c r="BC233" s="3887"/>
      <c r="BD233" s="3881"/>
      <c r="BE233" s="3885"/>
      <c r="BF233" s="3885"/>
      <c r="BG233" s="3886" t="str">
        <f>BH232&amp;"-"&amp;BJ232</f>
        <v>46023-46203</v>
      </c>
      <c r="BH233" s="3887"/>
      <c r="BI233" s="3881"/>
      <c r="BJ233" s="3887"/>
      <c r="BK233" s="3881"/>
      <c r="BL233" s="3885"/>
      <c r="BM233" s="3885"/>
      <c r="BN233" s="3886" t="str">
        <f>BO232&amp;"-"&amp;BQ232</f>
        <v>46204-46387</v>
      </c>
      <c r="BO233" s="3887"/>
      <c r="BP233" s="3881"/>
      <c r="BQ233" s="3887"/>
      <c r="BR233" s="3881"/>
      <c r="BS233" s="3885"/>
      <c r="BT233" s="3885"/>
      <c r="BU233" s="3886" t="str">
        <f>BV232&amp;"-"&amp;BX232</f>
        <v>46388-46568</v>
      </c>
      <c r="BV233" s="3887"/>
      <c r="BW233" s="3881"/>
      <c r="BX233" s="3887"/>
      <c r="BY233" s="3881"/>
      <c r="BZ233" s="3885"/>
      <c r="CA233" s="3885"/>
      <c r="CB233" s="3886" t="str">
        <f>CC232&amp;"-"&amp;CE232</f>
        <v>46569-46752</v>
      </c>
      <c r="CC233" s="3887"/>
      <c r="CD233" s="3881"/>
      <c r="CE233" s="3887"/>
      <c r="CF233" s="3881"/>
      <c r="CG233" s="3885"/>
      <c r="CH233" s="3885"/>
      <c r="CI233" s="3886" t="str">
        <f>CJ232&amp;"-"&amp;CL232</f>
        <v>46753-46934</v>
      </c>
      <c r="CJ233" s="3887"/>
      <c r="CK233" s="3881"/>
      <c r="CL233" s="3887"/>
      <c r="CM233" s="3881"/>
      <c r="CN233" s="3885"/>
      <c r="CO233" s="3885"/>
      <c r="CP233" s="3886" t="str">
        <f>CQ232&amp;"-"&amp;CS232</f>
        <v>46935-47118</v>
      </c>
      <c r="CQ233" s="3887"/>
      <c r="CR233" s="3881"/>
      <c r="CS233" s="3887"/>
      <c r="CT233" s="3881"/>
      <c r="CU233" s="4203"/>
      <c r="CV233" s="4200"/>
      <c r="CW233" s="4093"/>
      <c r="CX233" s="4196"/>
      <c r="CY233" s="4196" t="str">
        <f>IF(T233="","",T233)</f>
        <v/>
      </c>
      <c r="CZ233" s="4196"/>
      <c r="DA233" s="4196"/>
      <c r="DB233" s="3858">
        <v>0</v>
      </c>
    </row>
    <row s="8520" customFormat="1" customHeight="1" ht="21">
      <c r="A234" s="4183"/>
      <c r="B234" s="4183"/>
      <c r="C234" s="4183"/>
      <c r="D234" s="4183"/>
      <c r="E234" s="4184"/>
      <c r="F234" s="4184"/>
      <c r="G234" s="4184"/>
      <c r="H234" s="4184"/>
      <c r="I234" s="4185"/>
      <c r="J234" s="4186" t="str">
        <f>I226&amp;".1"</f>
        <v>1.10.1.1.1</v>
      </c>
      <c r="K234" s="4183"/>
      <c r="L234" s="4187"/>
      <c r="M234" s="4188"/>
      <c r="N234" s="4188"/>
      <c r="O234" s="4188"/>
      <c r="P234" s="4189"/>
      <c r="Q234" s="4189"/>
      <c r="R234" s="4205"/>
      <c r="S234" s="8521"/>
      <c r="T234" s="8522" t="s">
        <v>615</v>
      </c>
      <c r="U234" s="8523"/>
      <c r="V234" s="8524"/>
      <c r="W234" s="8525"/>
      <c r="X234" s="8526"/>
      <c r="Y234" s="8527"/>
      <c r="Z234" s="8528"/>
      <c r="AA234" s="8529"/>
      <c r="AB234" s="8530"/>
      <c r="AC234" s="8531"/>
      <c r="AD234" s="8532"/>
      <c r="AE234" s="8533"/>
      <c r="AF234" s="8534"/>
      <c r="AG234" s="8535"/>
      <c r="AH234" s="8536"/>
      <c r="AI234" s="8537"/>
      <c r="AJ234" s="8538"/>
      <c r="AK234" s="8539"/>
      <c r="AL234" s="8540"/>
      <c r="AM234" s="8541"/>
      <c r="AN234" s="8542"/>
      <c r="AO234" s="8543"/>
      <c r="AP234" s="8544"/>
      <c r="AQ234" s="8545"/>
      <c r="AR234" s="8546"/>
      <c r="AS234" s="8547"/>
      <c r="AT234" s="8548"/>
      <c r="AU234" s="8549"/>
      <c r="AV234" s="8550"/>
      <c r="AW234" s="8551"/>
      <c r="AX234" s="8552"/>
      <c r="AY234" s="8553"/>
      <c r="AZ234" s="8554"/>
      <c r="BA234" s="8555"/>
      <c r="BB234" s="8556"/>
      <c r="BC234" s="8557"/>
      <c r="BD234" s="8558"/>
      <c r="BE234" s="8559"/>
      <c r="BF234" s="8560"/>
      <c r="BG234" s="8561"/>
      <c r="BH234" s="8562"/>
      <c r="BI234" s="8563"/>
      <c r="BJ234" s="8564"/>
      <c r="BK234" s="8565"/>
      <c r="BL234" s="8566"/>
      <c r="BM234" s="8567"/>
      <c r="BN234" s="8568"/>
      <c r="BO234" s="8569"/>
      <c r="BP234" s="8570"/>
      <c r="BQ234" s="8571"/>
      <c r="BR234" s="8572"/>
      <c r="BS234" s="8573"/>
      <c r="BT234" s="8574"/>
      <c r="BU234" s="8575"/>
      <c r="BV234" s="8576"/>
      <c r="BW234" s="8577"/>
      <c r="BX234" s="8578"/>
      <c r="BY234" s="8579"/>
      <c r="BZ234" s="8580"/>
      <c r="CA234" s="8581"/>
      <c r="CB234" s="8582"/>
      <c r="CC234" s="8583"/>
      <c r="CD234" s="8584"/>
      <c r="CE234" s="8585"/>
      <c r="CF234" s="8586"/>
      <c r="CG234" s="8587"/>
      <c r="CH234" s="8588"/>
      <c r="CI234" s="8589"/>
      <c r="CJ234" s="8590"/>
      <c r="CK234" s="8591"/>
      <c r="CL234" s="8592"/>
      <c r="CM234" s="8593"/>
      <c r="CN234" s="8594"/>
      <c r="CO234" s="8595"/>
      <c r="CP234" s="8596"/>
      <c r="CQ234" s="8597"/>
      <c r="CR234" s="8598"/>
      <c r="CS234" s="8599"/>
      <c r="CT234" s="8600"/>
      <c r="CU234" s="8601"/>
      <c r="CV234" s="4287" t="s">
        <v>616</v>
      </c>
      <c r="CW234" s="4093"/>
      <c r="CX234" s="4196"/>
      <c r="CY234" s="4196" t="str">
        <f>IF(T234="","",T234)</f>
        <v>Добавить значение признака дифференциации</v>
      </c>
      <c r="CZ234" s="4196"/>
      <c r="DA234" s="4196"/>
      <c r="DB234" s="3858">
        <v>0</v>
      </c>
    </row>
    <row s="8602" customFormat="1" customHeight="1" ht="23.25">
      <c r="A235" s="4183"/>
      <c r="B235" s="4183"/>
      <c r="C235" s="4183"/>
      <c r="D235" s="4183"/>
      <c r="E235" s="4184"/>
      <c r="F235" s="4184"/>
      <c r="G235" s="4184"/>
      <c r="H235" s="4184"/>
      <c r="I235" s="4185"/>
      <c r="J235" s="4186" t="str">
        <f>I226&amp;".3"</f>
        <v>1.10.1.1.3</v>
      </c>
      <c r="K235" s="4183"/>
      <c r="L235" s="4187" t="s">
        <v>538</v>
      </c>
      <c r="M235" s="4188"/>
      <c r="N235" s="4188"/>
      <c r="O235" s="4188"/>
      <c r="P235" s="4189"/>
      <c r="Q235" s="4190" t="s">
        <v>109</v>
      </c>
      <c r="R235" s="4191"/>
      <c r="S235" s="4192" t="str">
        <f>$J235</f>
        <v>1.10.1.1.3</v>
      </c>
      <c r="T235" s="4193" t="s">
        <v>539</v>
      </c>
      <c r="U235" s="4194"/>
      <c r="V235" s="3874"/>
      <c r="W235" s="3875"/>
      <c r="X235" s="3875"/>
      <c r="Y235" s="3875"/>
      <c r="Z235" s="3875"/>
      <c r="AA235" s="3875"/>
      <c r="AB235" s="3876"/>
      <c r="AC235" s="3874" t="s">
        <v>627</v>
      </c>
      <c r="AD235" s="3875"/>
      <c r="AE235" s="3875"/>
      <c r="AF235" s="3875"/>
      <c r="AG235" s="3875"/>
      <c r="AH235" s="3875"/>
      <c r="AI235" s="3875"/>
      <c r="AJ235" s="3874"/>
      <c r="AK235" s="3875"/>
      <c r="AL235" s="3875"/>
      <c r="AM235" s="3875"/>
      <c r="AN235" s="3875"/>
      <c r="AO235" s="3875"/>
      <c r="AP235" s="3876"/>
      <c r="AQ235" s="3874"/>
      <c r="AR235" s="3875"/>
      <c r="AS235" s="3875"/>
      <c r="AT235" s="3875"/>
      <c r="AU235" s="3875"/>
      <c r="AV235" s="3875"/>
      <c r="AW235" s="3876"/>
      <c r="AX235" s="3874"/>
      <c r="AY235" s="3875"/>
      <c r="AZ235" s="3875"/>
      <c r="BA235" s="3875"/>
      <c r="BB235" s="3875"/>
      <c r="BC235" s="3875"/>
      <c r="BD235" s="3876"/>
      <c r="BE235" s="3874"/>
      <c r="BF235" s="3875"/>
      <c r="BG235" s="3875"/>
      <c r="BH235" s="3875"/>
      <c r="BI235" s="3875"/>
      <c r="BJ235" s="3875"/>
      <c r="BK235" s="3876"/>
      <c r="BL235" s="3874"/>
      <c r="BM235" s="3875"/>
      <c r="BN235" s="3875"/>
      <c r="BO235" s="3875"/>
      <c r="BP235" s="3875"/>
      <c r="BQ235" s="3875"/>
      <c r="BR235" s="3876"/>
      <c r="BS235" s="3874"/>
      <c r="BT235" s="3875"/>
      <c r="BU235" s="3875"/>
      <c r="BV235" s="3875"/>
      <c r="BW235" s="3875"/>
      <c r="BX235" s="3875"/>
      <c r="BY235" s="3876"/>
      <c r="BZ235" s="3874"/>
      <c r="CA235" s="3875"/>
      <c r="CB235" s="3875"/>
      <c r="CC235" s="3875"/>
      <c r="CD235" s="3875"/>
      <c r="CE235" s="3875"/>
      <c r="CF235" s="3876"/>
      <c r="CG235" s="3874"/>
      <c r="CH235" s="3875"/>
      <c r="CI235" s="3875"/>
      <c r="CJ235" s="3875"/>
      <c r="CK235" s="3875"/>
      <c r="CL235" s="3875"/>
      <c r="CM235" s="3876"/>
      <c r="CN235" s="3874"/>
      <c r="CO235" s="3875"/>
      <c r="CP235" s="3875"/>
      <c r="CQ235" s="3875"/>
      <c r="CR235" s="3875"/>
      <c r="CS235" s="3875"/>
      <c r="CT235" s="3876"/>
      <c r="CU235" s="3876"/>
      <c r="CV235" s="4195" t="s">
        <v>614</v>
      </c>
      <c r="CW235" s="4093"/>
      <c r="CX235" s="4196"/>
      <c r="CY235" s="4196" t="str">
        <f>IF(T235="","",T235)</f>
        <v>Группа потребителей</v>
      </c>
      <c r="CZ235" s="4196"/>
      <c r="DA235" s="4196"/>
      <c r="DB235" s="3858">
        <v>0</v>
      </c>
    </row>
    <row s="8603" customFormat="1" customHeight="1" ht="23.25">
      <c r="A236" s="4183"/>
      <c r="B236" s="4183"/>
      <c r="C236" s="4183"/>
      <c r="D236" s="4183"/>
      <c r="E236" s="4184"/>
      <c r="F236" s="4184"/>
      <c r="G236" s="4184"/>
      <c r="H236" s="4184"/>
      <c r="I236" s="4185"/>
      <c r="J236" s="4185" t="str">
        <f>I226&amp;".2"</f>
        <v>1.10.1.1.2</v>
      </c>
      <c r="K236" s="4186" t="str">
        <f>J235&amp;".1"</f>
        <v>1.10.1.1.3.1</v>
      </c>
      <c r="L236" s="4187"/>
      <c r="M236" s="4188"/>
      <c r="N236" s="4188"/>
      <c r="O236" s="4188"/>
      <c r="P236" s="4189"/>
      <c r="Q236" s="4189"/>
      <c r="R236" s="4191">
        <v>1</v>
      </c>
      <c r="S236" s="4192" t="str">
        <f>$K236</f>
        <v>1.10.1.1.3.1</v>
      </c>
      <c r="T236" s="4198"/>
      <c r="U236" s="4194"/>
      <c r="V236" s="3878"/>
      <c r="W236" s="3878"/>
      <c r="X236" s="3879"/>
      <c r="Y236" s="3880"/>
      <c r="Z236" s="3881" t="s">
        <v>65</v>
      </c>
      <c r="AA236" s="3880"/>
      <c r="AB236" s="3881" t="s">
        <v>65</v>
      </c>
      <c r="AC236" s="3878">
        <v>47.8</v>
      </c>
      <c r="AD236" s="3878"/>
      <c r="AE236" s="3879"/>
      <c r="AF236" s="3880">
        <v>45292</v>
      </c>
      <c r="AG236" s="3881" t="s">
        <v>65</v>
      </c>
      <c r="AH236" s="4116">
        <v>45473</v>
      </c>
      <c r="AI236" s="3881" t="s">
        <v>65</v>
      </c>
      <c r="AJ236" s="3878">
        <v>54.69</v>
      </c>
      <c r="AK236" s="3878"/>
      <c r="AL236" s="3879"/>
      <c r="AM236" s="3880">
        <v>45474</v>
      </c>
      <c r="AN236" s="3881" t="s">
        <v>65</v>
      </c>
      <c r="AO236" s="3880">
        <v>45657</v>
      </c>
      <c r="AP236" s="3881" t="s">
        <v>65</v>
      </c>
      <c r="AQ236" s="3878">
        <v>54.69</v>
      </c>
      <c r="AR236" s="3878"/>
      <c r="AS236" s="3879"/>
      <c r="AT236" s="3880">
        <v>45658</v>
      </c>
      <c r="AU236" s="3881" t="s">
        <v>65</v>
      </c>
      <c r="AV236" s="3880">
        <v>45838</v>
      </c>
      <c r="AW236" s="3881" t="s">
        <v>65</v>
      </c>
      <c r="AX236" s="3878">
        <v>57.43</v>
      </c>
      <c r="AY236" s="3878"/>
      <c r="AZ236" s="3879"/>
      <c r="BA236" s="3880">
        <v>45839</v>
      </c>
      <c r="BB236" s="3881" t="s">
        <v>65</v>
      </c>
      <c r="BC236" s="3880">
        <v>46022</v>
      </c>
      <c r="BD236" s="3881" t="s">
        <v>65</v>
      </c>
      <c r="BE236" s="3878">
        <v>62.55</v>
      </c>
      <c r="BF236" s="3878"/>
      <c r="BG236" s="3879"/>
      <c r="BH236" s="3880">
        <v>46023</v>
      </c>
      <c r="BI236" s="3881" t="s">
        <v>65</v>
      </c>
      <c r="BJ236" s="3880">
        <v>46203</v>
      </c>
      <c r="BK236" s="3881" t="s">
        <v>65</v>
      </c>
      <c r="BL236" s="3878">
        <v>68.84</v>
      </c>
      <c r="BM236" s="3878"/>
      <c r="BN236" s="3879"/>
      <c r="BO236" s="3880">
        <v>46204</v>
      </c>
      <c r="BP236" s="3881" t="s">
        <v>65</v>
      </c>
      <c r="BQ236" s="3880">
        <v>46387</v>
      </c>
      <c r="BR236" s="3881" t="s">
        <v>65</v>
      </c>
      <c r="BS236" s="3878">
        <v>68.84</v>
      </c>
      <c r="BT236" s="3878"/>
      <c r="BU236" s="3879"/>
      <c r="BV236" s="3880">
        <v>46388</v>
      </c>
      <c r="BW236" s="3881" t="s">
        <v>65</v>
      </c>
      <c r="BX236" s="3880">
        <v>46568</v>
      </c>
      <c r="BY236" s="3881" t="s">
        <v>65</v>
      </c>
      <c r="BZ236" s="3878">
        <v>74.46</v>
      </c>
      <c r="CA236" s="3878"/>
      <c r="CB236" s="3879"/>
      <c r="CC236" s="3880">
        <v>46569</v>
      </c>
      <c r="CD236" s="3881" t="s">
        <v>65</v>
      </c>
      <c r="CE236" s="3880">
        <v>46752</v>
      </c>
      <c r="CF236" s="3881" t="s">
        <v>65</v>
      </c>
      <c r="CG236" s="3878">
        <v>74.46</v>
      </c>
      <c r="CH236" s="3878"/>
      <c r="CI236" s="3879"/>
      <c r="CJ236" s="3880">
        <v>46753</v>
      </c>
      <c r="CK236" s="3881" t="s">
        <v>65</v>
      </c>
      <c r="CL236" s="3880">
        <v>46934</v>
      </c>
      <c r="CM236" s="3881" t="s">
        <v>65</v>
      </c>
      <c r="CN236" s="3878">
        <v>81.66</v>
      </c>
      <c r="CO236" s="3878"/>
      <c r="CP236" s="3879"/>
      <c r="CQ236" s="3880">
        <v>46935</v>
      </c>
      <c r="CR236" s="3881" t="s">
        <v>65</v>
      </c>
      <c r="CS236" s="3880">
        <v>47118</v>
      </c>
      <c r="CT236" s="3881" t="s">
        <v>65</v>
      </c>
      <c r="CU236" s="4199"/>
      <c r="CV23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36" s="4093">
        <f>STRCHECKDATE(V237:CU237)</f>
      </c>
      <c r="CX236" s="4196"/>
      <c r="CY236" s="4196" t="str">
        <f>IF(T236="","",T236)</f>
        <v/>
      </c>
      <c r="CZ236" s="4196"/>
      <c r="DA236" s="4196"/>
      <c r="DB236" s="3858">
        <v>0</v>
      </c>
    </row>
    <row s="8604" customFormat="1" customHeight="1" ht="14.25">
      <c r="A237" s="4183"/>
      <c r="B237" s="4183"/>
      <c r="C237" s="4183"/>
      <c r="D237" s="4183"/>
      <c r="E237" s="4184"/>
      <c r="F237" s="4184"/>
      <c r="G237" s="4184"/>
      <c r="H237" s="4184"/>
      <c r="I237" s="4185"/>
      <c r="J237" s="4185" t="str">
        <f>I226&amp;".2"</f>
        <v>1.10.1.1.2</v>
      </c>
      <c r="K237" s="4186"/>
      <c r="L237" s="4187"/>
      <c r="M237" s="4188"/>
      <c r="N237" s="4188"/>
      <c r="O237" s="4188"/>
      <c r="P237" s="4189"/>
      <c r="Q237" s="4189"/>
      <c r="R237" s="4191"/>
      <c r="S237" s="4202"/>
      <c r="T237" s="4194"/>
      <c r="U237" s="4194"/>
      <c r="V237" s="3885"/>
      <c r="W237" s="3885"/>
      <c r="X237" s="3886" t="str">
        <f>Y236&amp;"-"&amp;AA236</f>
        <v>-</v>
      </c>
      <c r="Y237" s="3887"/>
      <c r="Z237" s="3881"/>
      <c r="AA237" s="3887"/>
      <c r="AB237" s="3881"/>
      <c r="AC237" s="3885"/>
      <c r="AD237" s="3885"/>
      <c r="AE237" s="3886" t="str">
        <f>AF236&amp;"-"&amp;AH236</f>
        <v>45292-45473</v>
      </c>
      <c r="AF237" s="3887"/>
      <c r="AG237" s="3881"/>
      <c r="AH237" s="4118"/>
      <c r="AI237" s="3881"/>
      <c r="AJ237" s="3885"/>
      <c r="AK237" s="3885"/>
      <c r="AL237" s="3886" t="str">
        <f>AM236&amp;"-"&amp;AO236</f>
        <v>45474-45657</v>
      </c>
      <c r="AM237" s="3887"/>
      <c r="AN237" s="3881"/>
      <c r="AO237" s="3887"/>
      <c r="AP237" s="3881"/>
      <c r="AQ237" s="3885"/>
      <c r="AR237" s="3885"/>
      <c r="AS237" s="3886" t="str">
        <f>AT236&amp;"-"&amp;AV236</f>
        <v>45658-45838</v>
      </c>
      <c r="AT237" s="3887"/>
      <c r="AU237" s="3881"/>
      <c r="AV237" s="3887"/>
      <c r="AW237" s="3881"/>
      <c r="AX237" s="3885"/>
      <c r="AY237" s="3885"/>
      <c r="AZ237" s="3886" t="str">
        <f>BA236&amp;"-"&amp;BC236</f>
        <v>45839-46022</v>
      </c>
      <c r="BA237" s="3887"/>
      <c r="BB237" s="3881"/>
      <c r="BC237" s="3887"/>
      <c r="BD237" s="3881"/>
      <c r="BE237" s="3885"/>
      <c r="BF237" s="3885"/>
      <c r="BG237" s="3886" t="str">
        <f>BH236&amp;"-"&amp;BJ236</f>
        <v>46023-46203</v>
      </c>
      <c r="BH237" s="3887"/>
      <c r="BI237" s="3881"/>
      <c r="BJ237" s="3887"/>
      <c r="BK237" s="3881"/>
      <c r="BL237" s="3885"/>
      <c r="BM237" s="3885"/>
      <c r="BN237" s="3886" t="str">
        <f>BO236&amp;"-"&amp;BQ236</f>
        <v>46204-46387</v>
      </c>
      <c r="BO237" s="3887"/>
      <c r="BP237" s="3881"/>
      <c r="BQ237" s="3887"/>
      <c r="BR237" s="3881"/>
      <c r="BS237" s="3885"/>
      <c r="BT237" s="3885"/>
      <c r="BU237" s="3886" t="str">
        <f>BV236&amp;"-"&amp;BX236</f>
        <v>46388-46568</v>
      </c>
      <c r="BV237" s="3887"/>
      <c r="BW237" s="3881"/>
      <c r="BX237" s="3887"/>
      <c r="BY237" s="3881"/>
      <c r="BZ237" s="3885"/>
      <c r="CA237" s="3885"/>
      <c r="CB237" s="3886" t="str">
        <f>CC236&amp;"-"&amp;CE236</f>
        <v>46569-46752</v>
      </c>
      <c r="CC237" s="3887"/>
      <c r="CD237" s="3881"/>
      <c r="CE237" s="3887"/>
      <c r="CF237" s="3881"/>
      <c r="CG237" s="3885"/>
      <c r="CH237" s="3885"/>
      <c r="CI237" s="3886" t="str">
        <f>CJ236&amp;"-"&amp;CL236</f>
        <v>46753-46934</v>
      </c>
      <c r="CJ237" s="3887"/>
      <c r="CK237" s="3881"/>
      <c r="CL237" s="3887"/>
      <c r="CM237" s="3881"/>
      <c r="CN237" s="3885"/>
      <c r="CO237" s="3885"/>
      <c r="CP237" s="3886" t="str">
        <f>CQ236&amp;"-"&amp;CS236</f>
        <v>46935-47118</v>
      </c>
      <c r="CQ237" s="3887"/>
      <c r="CR237" s="3881"/>
      <c r="CS237" s="3887"/>
      <c r="CT237" s="3881"/>
      <c r="CU237" s="4203"/>
      <c r="CV237" s="4200"/>
      <c r="CW237" s="4093"/>
      <c r="CX237" s="4196"/>
      <c r="CY237" s="4196" t="str">
        <f>IF(T237="","",T237)</f>
        <v/>
      </c>
      <c r="CZ237" s="4196"/>
      <c r="DA237" s="4196"/>
      <c r="DB237" s="3858">
        <v>0</v>
      </c>
    </row>
    <row s="8605" customFormat="1" customHeight="1" ht="21">
      <c r="A238" s="4183"/>
      <c r="B238" s="4183"/>
      <c r="C238" s="4183"/>
      <c r="D238" s="4183"/>
      <c r="E238" s="4184"/>
      <c r="F238" s="4184"/>
      <c r="G238" s="4184"/>
      <c r="H238" s="4184"/>
      <c r="I238" s="4185"/>
      <c r="J238" s="4186" t="str">
        <f>I226&amp;".2"</f>
        <v>1.10.1.1.2</v>
      </c>
      <c r="K238" s="4183"/>
      <c r="L238" s="4187"/>
      <c r="M238" s="4188"/>
      <c r="N238" s="4188"/>
      <c r="O238" s="4188"/>
      <c r="P238" s="4189"/>
      <c r="Q238" s="4189"/>
      <c r="R238" s="4205"/>
      <c r="S238" s="8606"/>
      <c r="T238" s="8607" t="s">
        <v>615</v>
      </c>
      <c r="U238" s="8608"/>
      <c r="V238" s="8609"/>
      <c r="W238" s="8610"/>
      <c r="X238" s="8611"/>
      <c r="Y238" s="8612"/>
      <c r="Z238" s="8613"/>
      <c r="AA238" s="8614"/>
      <c r="AB238" s="8615"/>
      <c r="AC238" s="8616"/>
      <c r="AD238" s="8617"/>
      <c r="AE238" s="8618"/>
      <c r="AF238" s="8619"/>
      <c r="AG238" s="8620"/>
      <c r="AH238" s="8621"/>
      <c r="AI238" s="8622"/>
      <c r="AJ238" s="8623"/>
      <c r="AK238" s="8624"/>
      <c r="AL238" s="8625"/>
      <c r="AM238" s="8626"/>
      <c r="AN238" s="8627"/>
      <c r="AO238" s="8628"/>
      <c r="AP238" s="8629"/>
      <c r="AQ238" s="8630"/>
      <c r="AR238" s="8631"/>
      <c r="AS238" s="8632"/>
      <c r="AT238" s="8633"/>
      <c r="AU238" s="8634"/>
      <c r="AV238" s="8635"/>
      <c r="AW238" s="8636"/>
      <c r="AX238" s="8637"/>
      <c r="AY238" s="8638"/>
      <c r="AZ238" s="8639"/>
      <c r="BA238" s="8640"/>
      <c r="BB238" s="8641"/>
      <c r="BC238" s="8642"/>
      <c r="BD238" s="8643"/>
      <c r="BE238" s="8644"/>
      <c r="BF238" s="8645"/>
      <c r="BG238" s="8646"/>
      <c r="BH238" s="8647"/>
      <c r="BI238" s="8648"/>
      <c r="BJ238" s="8649"/>
      <c r="BK238" s="8650"/>
      <c r="BL238" s="8651"/>
      <c r="BM238" s="8652"/>
      <c r="BN238" s="8653"/>
      <c r="BO238" s="8654"/>
      <c r="BP238" s="8655"/>
      <c r="BQ238" s="8656"/>
      <c r="BR238" s="8657"/>
      <c r="BS238" s="8658"/>
      <c r="BT238" s="8659"/>
      <c r="BU238" s="8660"/>
      <c r="BV238" s="8661"/>
      <c r="BW238" s="8662"/>
      <c r="BX238" s="8663"/>
      <c r="BY238" s="8664"/>
      <c r="BZ238" s="8665"/>
      <c r="CA238" s="8666"/>
      <c r="CB238" s="8667"/>
      <c r="CC238" s="8668"/>
      <c r="CD238" s="8669"/>
      <c r="CE238" s="8670"/>
      <c r="CF238" s="8671"/>
      <c r="CG238" s="8672"/>
      <c r="CH238" s="8673"/>
      <c r="CI238" s="8674"/>
      <c r="CJ238" s="8675"/>
      <c r="CK238" s="8676"/>
      <c r="CL238" s="8677"/>
      <c r="CM238" s="8678"/>
      <c r="CN238" s="8679"/>
      <c r="CO238" s="8680"/>
      <c r="CP238" s="8681"/>
      <c r="CQ238" s="8682"/>
      <c r="CR238" s="8683"/>
      <c r="CS238" s="8684"/>
      <c r="CT238" s="8685"/>
      <c r="CU238" s="8686"/>
      <c r="CV238" s="4287" t="s">
        <v>616</v>
      </c>
      <c r="CW238" s="4093"/>
      <c r="CX238" s="4196"/>
      <c r="CY238" s="4196" t="str">
        <f>IF(T238="","",T238)</f>
        <v>Добавить значение признака дифференциации</v>
      </c>
      <c r="CZ238" s="4196"/>
      <c r="DA238" s="4196"/>
      <c r="DB238" s="3858">
        <v>0</v>
      </c>
    </row>
    <row s="8687" customFormat="1" customHeight="1" ht="21">
      <c r="A239" s="4183"/>
      <c r="B239" s="4183"/>
      <c r="C239" s="4183"/>
      <c r="D239" s="4183"/>
      <c r="E239" s="4184"/>
      <c r="F239" s="4184" t="s">
        <v>140</v>
      </c>
      <c r="G239" s="4184"/>
      <c r="H239" s="4184"/>
      <c r="I239" s="4186"/>
      <c r="J239" s="4183"/>
      <c r="K239" s="4183"/>
      <c r="L239" s="4187"/>
      <c r="M239" s="4188"/>
      <c r="N239" s="4188"/>
      <c r="O239" s="4188"/>
      <c r="P239" s="4189"/>
      <c r="Q239" s="4189"/>
      <c r="R239" s="4205"/>
      <c r="S239" s="8688"/>
      <c r="T239" s="8689" t="s">
        <v>544</v>
      </c>
      <c r="U239" s="8690"/>
      <c r="V239" s="8691"/>
      <c r="W239" s="8692"/>
      <c r="X239" s="8693"/>
      <c r="Y239" s="8694"/>
      <c r="Z239" s="8695"/>
      <c r="AA239" s="8696"/>
      <c r="AB239" s="8697"/>
      <c r="AC239" s="8698"/>
      <c r="AD239" s="8699"/>
      <c r="AE239" s="8700"/>
      <c r="AF239" s="8701"/>
      <c r="AG239" s="8702"/>
      <c r="AH239" s="8703"/>
      <c r="AI239" s="8704"/>
      <c r="AJ239" s="8705"/>
      <c r="AK239" s="8706"/>
      <c r="AL239" s="8707"/>
      <c r="AM239" s="8708"/>
      <c r="AN239" s="8709"/>
      <c r="AO239" s="8710"/>
      <c r="AP239" s="8711"/>
      <c r="AQ239" s="8712"/>
      <c r="AR239" s="8713"/>
      <c r="AS239" s="8714"/>
      <c r="AT239" s="8715"/>
      <c r="AU239" s="8716"/>
      <c r="AV239" s="8717"/>
      <c r="AW239" s="8718"/>
      <c r="AX239" s="8719"/>
      <c r="AY239" s="8720"/>
      <c r="AZ239" s="8721"/>
      <c r="BA239" s="8722"/>
      <c r="BB239" s="8723"/>
      <c r="BC239" s="8724"/>
      <c r="BD239" s="8725"/>
      <c r="BE239" s="8726"/>
      <c r="BF239" s="8727"/>
      <c r="BG239" s="8728"/>
      <c r="BH239" s="8729"/>
      <c r="BI239" s="8730"/>
      <c r="BJ239" s="8731"/>
      <c r="BK239" s="8732"/>
      <c r="BL239" s="8733"/>
      <c r="BM239" s="8734"/>
      <c r="BN239" s="8735"/>
      <c r="BO239" s="8736"/>
      <c r="BP239" s="8737"/>
      <c r="BQ239" s="8738"/>
      <c r="BR239" s="8739"/>
      <c r="BS239" s="8740"/>
      <c r="BT239" s="8741"/>
      <c r="BU239" s="8742"/>
      <c r="BV239" s="8743"/>
      <c r="BW239" s="8744"/>
      <c r="BX239" s="8745"/>
      <c r="BY239" s="8746"/>
      <c r="BZ239" s="8747"/>
      <c r="CA239" s="8748"/>
      <c r="CB239" s="8749"/>
      <c r="CC239" s="8750"/>
      <c r="CD239" s="8751"/>
      <c r="CE239" s="8752"/>
      <c r="CF239" s="8753"/>
      <c r="CG239" s="8754"/>
      <c r="CH239" s="8755"/>
      <c r="CI239" s="8756"/>
      <c r="CJ239" s="8757"/>
      <c r="CK239" s="8758"/>
      <c r="CL239" s="8759"/>
      <c r="CM239" s="8760"/>
      <c r="CN239" s="8761"/>
      <c r="CO239" s="8762"/>
      <c r="CP239" s="8763"/>
      <c r="CQ239" s="8764"/>
      <c r="CR239" s="8765"/>
      <c r="CS239" s="8766"/>
      <c r="CT239" s="8767"/>
      <c r="CU239" s="8768"/>
      <c r="CV239" s="8769"/>
      <c r="CW239" s="4093"/>
      <c r="CX239" s="4196"/>
      <c r="CY239" s="4196" t="str">
        <f>IF(T239="","",T239)</f>
        <v>Добавить группу потребителей</v>
      </c>
      <c r="CZ239" s="4196"/>
      <c r="DA239" s="4196"/>
      <c r="DB239" s="3858">
        <v>0</v>
      </c>
    </row>
    <row s="8770" customFormat="1" customHeight="1" ht="14.25">
      <c r="A240" s="4183"/>
      <c r="B240" s="4183"/>
      <c r="C240" s="4183"/>
      <c r="D240" s="4183"/>
      <c r="E240" s="4184"/>
      <c r="F240" s="4184" t="s">
        <v>140</v>
      </c>
      <c r="G240" s="4184"/>
      <c r="H240" s="4500"/>
      <c r="I240" s="4183"/>
      <c r="J240" s="4183"/>
      <c r="K240" s="4183"/>
      <c r="L240" s="4187"/>
      <c r="M240" s="4501"/>
      <c r="N240" s="4501"/>
      <c r="O240" s="4083"/>
      <c r="P240" s="4853"/>
      <c r="Q240" s="4854"/>
      <c r="R240" s="4855"/>
      <c r="S240" s="8771"/>
      <c r="T240" s="8772" t="s">
        <v>617</v>
      </c>
      <c r="U240" s="8773"/>
      <c r="V240" s="8774"/>
      <c r="W240" s="8775"/>
      <c r="X240" s="8776"/>
      <c r="Y240" s="8777"/>
      <c r="Z240" s="8778"/>
      <c r="AA240" s="8779"/>
      <c r="AB240" s="8780"/>
      <c r="AC240" s="8781"/>
      <c r="AD240" s="8782"/>
      <c r="AE240" s="8783"/>
      <c r="AF240" s="8784"/>
      <c r="AG240" s="8785"/>
      <c r="AH240" s="8786"/>
      <c r="AI240" s="8787"/>
      <c r="AJ240" s="8788"/>
      <c r="AK240" s="8789"/>
      <c r="AL240" s="8790"/>
      <c r="AM240" s="8791"/>
      <c r="AN240" s="8792"/>
      <c r="AO240" s="8793"/>
      <c r="AP240" s="8794"/>
      <c r="AQ240" s="8795"/>
      <c r="AR240" s="8796"/>
      <c r="AS240" s="8797"/>
      <c r="AT240" s="8798"/>
      <c r="AU240" s="8799"/>
      <c r="AV240" s="8800"/>
      <c r="AW240" s="8801"/>
      <c r="AX240" s="8802"/>
      <c r="AY240" s="8803"/>
      <c r="AZ240" s="8804"/>
      <c r="BA240" s="8805"/>
      <c r="BB240" s="8806"/>
      <c r="BC240" s="8807"/>
      <c r="BD240" s="8808"/>
      <c r="BE240" s="8809"/>
      <c r="BF240" s="8810"/>
      <c r="BG240" s="8811"/>
      <c r="BH240" s="8812"/>
      <c r="BI240" s="8813"/>
      <c r="BJ240" s="8814"/>
      <c r="BK240" s="8815"/>
      <c r="BL240" s="8816"/>
      <c r="BM240" s="8817"/>
      <c r="BN240" s="8818"/>
      <c r="BO240" s="8819"/>
      <c r="BP240" s="8820"/>
      <c r="BQ240" s="8821"/>
      <c r="BR240" s="8822"/>
      <c r="BS240" s="8823"/>
      <c r="BT240" s="8824"/>
      <c r="BU240" s="8825"/>
      <c r="BV240" s="8826"/>
      <c r="BW240" s="8827"/>
      <c r="BX240" s="8828"/>
      <c r="BY240" s="8829"/>
      <c r="BZ240" s="8830"/>
      <c r="CA240" s="8831"/>
      <c r="CB240" s="8832"/>
      <c r="CC240" s="8833"/>
      <c r="CD240" s="8834"/>
      <c r="CE240" s="8835"/>
      <c r="CF240" s="8836"/>
      <c r="CG240" s="8837"/>
      <c r="CH240" s="8838"/>
      <c r="CI240" s="8839"/>
      <c r="CJ240" s="8840"/>
      <c r="CK240" s="8841"/>
      <c r="CL240" s="8842"/>
      <c r="CM240" s="8843"/>
      <c r="CN240" s="8844"/>
      <c r="CO240" s="8845"/>
      <c r="CP240" s="8846"/>
      <c r="CQ240" s="8847"/>
      <c r="CR240" s="8848"/>
      <c r="CS240" s="8849"/>
      <c r="CT240" s="8850"/>
      <c r="CU240" s="8851"/>
      <c r="CV240" s="8852"/>
      <c r="CW240" s="4093"/>
      <c r="CX240" s="4196"/>
      <c r="CY240" s="4196" t="str">
        <f>IF(T240="","",T240)</f>
        <v>Добавить наименование признака дифференциации</v>
      </c>
      <c r="CZ240" s="4196"/>
      <c r="DA240" s="4196"/>
      <c r="DB240" s="3858">
        <v>0</v>
      </c>
    </row>
    <row s="8853" customFormat="1" customHeight="1" ht="14.25">
      <c r="A241" s="4939"/>
      <c r="B241" s="4939"/>
      <c r="C241" s="4939"/>
      <c r="D241" s="4939"/>
      <c r="E241" s="4184"/>
      <c r="F241" s="4500" t="s">
        <v>140</v>
      </c>
      <c r="G241" s="4939"/>
      <c r="H241" s="4939"/>
      <c r="I241" s="4939"/>
      <c r="J241" s="4939"/>
      <c r="K241" s="4939"/>
      <c r="L241" s="4940"/>
      <c r="M241" s="4941"/>
      <c r="N241" s="4941"/>
      <c r="O241" s="4093"/>
      <c r="P241" s="4942"/>
      <c r="Q241" s="4943"/>
      <c r="R241" s="4942"/>
      <c r="S241" s="4944"/>
      <c r="T241" s="4945" t="s">
        <v>302</v>
      </c>
      <c r="U241" s="4081"/>
      <c r="V241" s="4081"/>
      <c r="W241" s="4081"/>
      <c r="X241" s="4081"/>
      <c r="Y241" s="4081"/>
      <c r="Z241" s="4081"/>
      <c r="AA241" s="4081"/>
      <c r="AB241" s="4081"/>
      <c r="AC241" s="4081"/>
      <c r="AD241" s="4081"/>
      <c r="AE241" s="4081"/>
      <c r="AF241" s="4081"/>
      <c r="AG241" s="4081"/>
      <c r="AH241" s="4081"/>
      <c r="AI241" s="4081"/>
      <c r="AJ241" s="4081"/>
      <c r="AK241" s="4081"/>
      <c r="AL241" s="4081"/>
      <c r="AM241" s="4081"/>
      <c r="AN241" s="4081"/>
      <c r="AO241" s="4081"/>
      <c r="AP241" s="4081"/>
      <c r="AQ241" s="4081"/>
      <c r="AR241" s="4081"/>
      <c r="AS241" s="4081"/>
      <c r="AT241" s="4081"/>
      <c r="AU241" s="4081"/>
      <c r="AV241" s="4081"/>
      <c r="AW241" s="4081"/>
      <c r="AX241" s="4081"/>
      <c r="AY241" s="4081"/>
      <c r="AZ241" s="4081"/>
      <c r="BA241" s="4081"/>
      <c r="BB241" s="4081"/>
      <c r="BC241" s="4081"/>
      <c r="BD241" s="4081"/>
      <c r="BE241" s="4081"/>
      <c r="BF241" s="4081"/>
      <c r="BG241" s="4081"/>
      <c r="BH241" s="4081"/>
      <c r="BI241" s="4081"/>
      <c r="BJ241" s="4081"/>
      <c r="BK241" s="4081"/>
      <c r="BL241" s="4081"/>
      <c r="BM241" s="4081"/>
      <c r="BN241" s="4081"/>
      <c r="BO241" s="4081"/>
      <c r="BP241" s="4081"/>
      <c r="BQ241" s="4081"/>
      <c r="BR241" s="4081"/>
      <c r="BS241" s="4081"/>
      <c r="BT241" s="4081"/>
      <c r="BU241" s="4081"/>
      <c r="BV241" s="4081"/>
      <c r="BW241" s="4081"/>
      <c r="BX241" s="4081"/>
      <c r="BY241" s="4081"/>
      <c r="BZ241" s="4081"/>
      <c r="CA241" s="4081"/>
      <c r="CB241" s="4081"/>
      <c r="CC241" s="4081"/>
      <c r="CD241" s="4081"/>
      <c r="CE241" s="4081"/>
      <c r="CF241" s="4081"/>
      <c r="CG241" s="4081"/>
      <c r="CH241" s="4081"/>
      <c r="CI241" s="4081"/>
      <c r="CJ241" s="4081"/>
      <c r="CK241" s="4081"/>
      <c r="CL241" s="4081"/>
      <c r="CM241" s="4081"/>
      <c r="CN241" s="4081"/>
      <c r="CO241" s="4081"/>
      <c r="CP241" s="4081"/>
      <c r="CQ241" s="4081"/>
      <c r="CR241" s="4081"/>
      <c r="CS241" s="4081"/>
      <c r="CT241" s="4081"/>
      <c r="CU241" s="4081"/>
      <c r="CV241" s="4081"/>
      <c r="CW241" s="4093"/>
      <c r="CX241" s="4196"/>
      <c r="CY241" s="4196" t="str">
        <f>IF(T241="","",T241)</f>
        <v>Добавить централизованную систему для дифференциации</v>
      </c>
      <c r="CZ241" s="4196"/>
      <c r="DA241" s="4196"/>
      <c r="DB241" s="4093">
        <v>0</v>
      </c>
    </row>
    <row s="8854" customFormat="1" customHeight="1" ht="23.25">
      <c r="A242" s="4183"/>
      <c r="B242" s="4183" t="s">
        <v>334</v>
      </c>
      <c r="C242" s="4183"/>
      <c r="D242" s="4183"/>
      <c r="E242" s="4184"/>
      <c r="F242" s="4500" t="s">
        <v>150</v>
      </c>
      <c r="G242" s="4183"/>
      <c r="H242" s="4183"/>
      <c r="I242" s="4183"/>
      <c r="J242" s="4183"/>
      <c r="K242" s="4183"/>
      <c r="L242" s="4187"/>
      <c r="M242" s="4501"/>
      <c r="N242" s="4501"/>
      <c r="O242" s="4501"/>
      <c r="P242" s="4502"/>
      <c r="Q242" s="4503"/>
      <c r="R242" s="4504"/>
      <c r="S242" s="4192" t="str">
        <f>INDEX(PT_DIFFERENTIATION_NUM_TER,MATCH(B242,PT_DIFFERENTIATION_TER_ID,0))</f>
        <v>1.11</v>
      </c>
      <c r="T242" s="4505" t="s">
        <v>529</v>
      </c>
      <c r="U242" s="4194"/>
      <c r="V242" s="3860"/>
      <c r="W242" s="3861"/>
      <c r="X242" s="3861"/>
      <c r="Y242" s="3861"/>
      <c r="Z242" s="3861"/>
      <c r="AA242" s="3861"/>
      <c r="AB242" s="3862"/>
      <c r="AC242" s="3860" t="str">
        <f>INDEX(PT_DIFFERENTIATION_TER,MATCH(B242,PT_DIFFERENTIATION_TER_ID,0))</f>
        <v>Территория 11</v>
      </c>
      <c r="AD242" s="3861"/>
      <c r="AE242" s="3861"/>
      <c r="AF242" s="3861"/>
      <c r="AG242" s="3861"/>
      <c r="AH242" s="3861"/>
      <c r="AI242" s="3861"/>
      <c r="AJ242" s="3860"/>
      <c r="AK242" s="3861"/>
      <c r="AL242" s="3861"/>
      <c r="AM242" s="3861"/>
      <c r="AN242" s="3861"/>
      <c r="AO242" s="3861"/>
      <c r="AP242" s="3862"/>
      <c r="AQ242" s="3860"/>
      <c r="AR242" s="3861"/>
      <c r="AS242" s="3861"/>
      <c r="AT242" s="3861"/>
      <c r="AU242" s="3861"/>
      <c r="AV242" s="3861"/>
      <c r="AW242" s="3862"/>
      <c r="AX242" s="3860"/>
      <c r="AY242" s="3861"/>
      <c r="AZ242" s="3861"/>
      <c r="BA242" s="3861"/>
      <c r="BB242" s="3861"/>
      <c r="BC242" s="3861"/>
      <c r="BD242" s="3862"/>
      <c r="BE242" s="3860"/>
      <c r="BF242" s="3861"/>
      <c r="BG242" s="3861"/>
      <c r="BH242" s="3861"/>
      <c r="BI242" s="3861"/>
      <c r="BJ242" s="3861"/>
      <c r="BK242" s="3862"/>
      <c r="BL242" s="3860"/>
      <c r="BM242" s="3861"/>
      <c r="BN242" s="3861"/>
      <c r="BO242" s="3861"/>
      <c r="BP242" s="3861"/>
      <c r="BQ242" s="3861"/>
      <c r="BR242" s="3862"/>
      <c r="BS242" s="3860"/>
      <c r="BT242" s="3861"/>
      <c r="BU242" s="3861"/>
      <c r="BV242" s="3861"/>
      <c r="BW242" s="3861"/>
      <c r="BX242" s="3861"/>
      <c r="BY242" s="3862"/>
      <c r="BZ242" s="3860"/>
      <c r="CA242" s="3861"/>
      <c r="CB242" s="3861"/>
      <c r="CC242" s="3861"/>
      <c r="CD242" s="3861"/>
      <c r="CE242" s="3861"/>
      <c r="CF242" s="3862"/>
      <c r="CG242" s="3860"/>
      <c r="CH242" s="3861"/>
      <c r="CI242" s="3861"/>
      <c r="CJ242" s="3861"/>
      <c r="CK242" s="3861"/>
      <c r="CL242" s="3861"/>
      <c r="CM242" s="3862"/>
      <c r="CN242" s="3860"/>
      <c r="CO242" s="3861"/>
      <c r="CP242" s="3861"/>
      <c r="CQ242" s="3861"/>
      <c r="CR242" s="3861"/>
      <c r="CS242" s="3861"/>
      <c r="CT242" s="3862"/>
      <c r="CU242" s="3862"/>
      <c r="CV242" s="4287" t="s">
        <v>530</v>
      </c>
      <c r="CW242" s="4093"/>
      <c r="CX242" s="4196"/>
      <c r="CY242" s="4196" t="str">
        <f>IF(T242="","",T242)</f>
        <v>Территория действия тарифа</v>
      </c>
      <c r="CZ242" s="4196"/>
      <c r="DA242" s="4196"/>
      <c r="DB242" s="3858">
        <v>0</v>
      </c>
    </row>
    <row s="8855" customFormat="1" customHeight="1" ht="23.25">
      <c r="A243" s="4183"/>
      <c r="B243" s="4183"/>
      <c r="C243" s="4183" t="s">
        <v>335</v>
      </c>
      <c r="D243" s="4183"/>
      <c r="E243" s="4184"/>
      <c r="F243" s="4184" t="s">
        <v>145</v>
      </c>
      <c r="G243" s="4500">
        <v>1</v>
      </c>
      <c r="H243" s="4183"/>
      <c r="I243" s="4183"/>
      <c r="J243" s="4183"/>
      <c r="K243" s="4183"/>
      <c r="L243" s="4187"/>
      <c r="M243" s="4501"/>
      <c r="N243" s="4501"/>
      <c r="O243" s="4501"/>
      <c r="P243" s="4507"/>
      <c r="Q243" s="4503"/>
      <c r="R243" s="4504"/>
      <c r="S243" s="4192" t="str">
        <f>INDEX(PT_DIFFERENTIATION_NUM_CS,MATCH(C243,PT_DIFFERENTIATION_CS_ID,0))</f>
        <v>1.11.1</v>
      </c>
      <c r="T243" s="4508" t="s">
        <v>610</v>
      </c>
      <c r="U243" s="4194"/>
      <c r="V243" s="3860"/>
      <c r="W243" s="3861"/>
      <c r="X243" s="3861"/>
      <c r="Y243" s="3861"/>
      <c r="Z243" s="3861"/>
      <c r="AA243" s="3861"/>
      <c r="AB243" s="3862"/>
      <c r="AC243" s="3860" t="str">
        <f>INDEX(PT_DIFFERENTIATION_CS,MATCH(C243,PT_DIFFERENTIATION_CS_ID,0))</f>
        <v>без дифференциации</v>
      </c>
      <c r="AD243" s="3861"/>
      <c r="AE243" s="3861"/>
      <c r="AF243" s="3861"/>
      <c r="AG243" s="3861"/>
      <c r="AH243" s="3861"/>
      <c r="AI243" s="3861"/>
      <c r="AJ243" s="3860"/>
      <c r="AK243" s="3861"/>
      <c r="AL243" s="3861"/>
      <c r="AM243" s="3861"/>
      <c r="AN243" s="3861"/>
      <c r="AO243" s="3861"/>
      <c r="AP243" s="3862"/>
      <c r="AQ243" s="3860"/>
      <c r="AR243" s="3861"/>
      <c r="AS243" s="3861"/>
      <c r="AT243" s="3861"/>
      <c r="AU243" s="3861"/>
      <c r="AV243" s="3861"/>
      <c r="AW243" s="3862"/>
      <c r="AX243" s="3860"/>
      <c r="AY243" s="3861"/>
      <c r="AZ243" s="3861"/>
      <c r="BA243" s="3861"/>
      <c r="BB243" s="3861"/>
      <c r="BC243" s="3861"/>
      <c r="BD243" s="3862"/>
      <c r="BE243" s="3860"/>
      <c r="BF243" s="3861"/>
      <c r="BG243" s="3861"/>
      <c r="BH243" s="3861"/>
      <c r="BI243" s="3861"/>
      <c r="BJ243" s="3861"/>
      <c r="BK243" s="3862"/>
      <c r="BL243" s="3860"/>
      <c r="BM243" s="3861"/>
      <c r="BN243" s="3861"/>
      <c r="BO243" s="3861"/>
      <c r="BP243" s="3861"/>
      <c r="BQ243" s="3861"/>
      <c r="BR243" s="3862"/>
      <c r="BS243" s="3860"/>
      <c r="BT243" s="3861"/>
      <c r="BU243" s="3861"/>
      <c r="BV243" s="3861"/>
      <c r="BW243" s="3861"/>
      <c r="BX243" s="3861"/>
      <c r="BY243" s="3862"/>
      <c r="BZ243" s="3860"/>
      <c r="CA243" s="3861"/>
      <c r="CB243" s="3861"/>
      <c r="CC243" s="3861"/>
      <c r="CD243" s="3861"/>
      <c r="CE243" s="3861"/>
      <c r="CF243" s="3862"/>
      <c r="CG243" s="3860"/>
      <c r="CH243" s="3861"/>
      <c r="CI243" s="3861"/>
      <c r="CJ243" s="3861"/>
      <c r="CK243" s="3861"/>
      <c r="CL243" s="3861"/>
      <c r="CM243" s="3862"/>
      <c r="CN243" s="3860"/>
      <c r="CO243" s="3861"/>
      <c r="CP243" s="3861"/>
      <c r="CQ243" s="3861"/>
      <c r="CR243" s="3861"/>
      <c r="CS243" s="3861"/>
      <c r="CT243" s="3862"/>
      <c r="CU243" s="3862"/>
      <c r="CV243" s="4287" t="s">
        <v>611</v>
      </c>
      <c r="CW243" s="4093"/>
      <c r="CX243" s="4196"/>
      <c r="CY243" s="4196" t="str">
        <f>IF(T243="","",T243)</f>
        <v>Наименование централизованной системы холодного водоснабжения</v>
      </c>
      <c r="CZ243" s="4196"/>
      <c r="DA243" s="4196"/>
      <c r="DB243" s="3858">
        <v>0</v>
      </c>
    </row>
    <row s="8856" customFormat="1" customHeight="1" ht="23.25">
      <c r="A244" s="4183"/>
      <c r="B244" s="4183"/>
      <c r="C244" s="4183"/>
      <c r="D244" s="4183"/>
      <c r="E244" s="4184"/>
      <c r="F244" s="4184" t="s">
        <v>145</v>
      </c>
      <c r="G244" s="4184"/>
      <c r="H244" s="4184"/>
      <c r="I244" s="4186" t="str">
        <f>S243&amp;".1"</f>
        <v>1.11.1.1</v>
      </c>
      <c r="J244" s="4183"/>
      <c r="K244" s="4183"/>
      <c r="L244" s="4187"/>
      <c r="M244" s="4188"/>
      <c r="N244" s="4188"/>
      <c r="O244" s="4188"/>
      <c r="P244" s="4189">
        <v>1</v>
      </c>
      <c r="Q244" s="4189"/>
      <c r="R244" s="4205"/>
      <c r="S244" s="4192" t="str">
        <f>$I244</f>
        <v>1.11.1.1</v>
      </c>
      <c r="T244" s="4510" t="s">
        <v>612</v>
      </c>
      <c r="U244" s="4194"/>
      <c r="V244" s="3870"/>
      <c r="W244" s="3871"/>
      <c r="X244" s="3871"/>
      <c r="Y244" s="3871"/>
      <c r="Z244" s="3871"/>
      <c r="AA244" s="3871"/>
      <c r="AB244" s="3872"/>
      <c r="AC244" s="4511"/>
      <c r="AD244" s="4512"/>
      <c r="AE244" s="4512"/>
      <c r="AF244" s="4512"/>
      <c r="AG244" s="4512"/>
      <c r="AH244" s="4512"/>
      <c r="AI244" s="4512"/>
      <c r="AJ244" s="3870"/>
      <c r="AK244" s="3871"/>
      <c r="AL244" s="3871"/>
      <c r="AM244" s="3871"/>
      <c r="AN244" s="3871"/>
      <c r="AO244" s="3871"/>
      <c r="AP244" s="3872"/>
      <c r="AQ244" s="3870"/>
      <c r="AR244" s="3871"/>
      <c r="AS244" s="3871"/>
      <c r="AT244" s="3871"/>
      <c r="AU244" s="3871"/>
      <c r="AV244" s="3871"/>
      <c r="AW244" s="3872"/>
      <c r="AX244" s="3870"/>
      <c r="AY244" s="3871"/>
      <c r="AZ244" s="3871"/>
      <c r="BA244" s="3871"/>
      <c r="BB244" s="3871"/>
      <c r="BC244" s="3871"/>
      <c r="BD244" s="3872"/>
      <c r="BE244" s="3870"/>
      <c r="BF244" s="3871"/>
      <c r="BG244" s="3871"/>
      <c r="BH244" s="3871"/>
      <c r="BI244" s="3871"/>
      <c r="BJ244" s="3871"/>
      <c r="BK244" s="3872"/>
      <c r="BL244" s="3870"/>
      <c r="BM244" s="3871"/>
      <c r="BN244" s="3871"/>
      <c r="BO244" s="3871"/>
      <c r="BP244" s="3871"/>
      <c r="BQ244" s="3871"/>
      <c r="BR244" s="3872"/>
      <c r="BS244" s="3870"/>
      <c r="BT244" s="3871"/>
      <c r="BU244" s="3871"/>
      <c r="BV244" s="3871"/>
      <c r="BW244" s="3871"/>
      <c r="BX244" s="3871"/>
      <c r="BY244" s="3872"/>
      <c r="BZ244" s="3870"/>
      <c r="CA244" s="3871"/>
      <c r="CB244" s="3871"/>
      <c r="CC244" s="3871"/>
      <c r="CD244" s="3871"/>
      <c r="CE244" s="3871"/>
      <c r="CF244" s="3872"/>
      <c r="CG244" s="3870"/>
      <c r="CH244" s="3871"/>
      <c r="CI244" s="3871"/>
      <c r="CJ244" s="3871"/>
      <c r="CK244" s="3871"/>
      <c r="CL244" s="3871"/>
      <c r="CM244" s="3872"/>
      <c r="CN244" s="3870"/>
      <c r="CO244" s="3871"/>
      <c r="CP244" s="3871"/>
      <c r="CQ244" s="3871"/>
      <c r="CR244" s="3871"/>
      <c r="CS244" s="3871"/>
      <c r="CT244" s="3872"/>
      <c r="CU244" s="4513"/>
      <c r="CV244" s="4287" t="s">
        <v>613</v>
      </c>
      <c r="CW244" s="4093"/>
      <c r="CX244" s="4196"/>
      <c r="CY244" s="4196" t="str">
        <f>IF(T244="","",T244)</f>
        <v>Наименование признака дифференциации</v>
      </c>
      <c r="CZ244" s="4196"/>
      <c r="DA244" s="4196"/>
      <c r="DB244" s="3858">
        <v>0</v>
      </c>
    </row>
    <row s="8857" customFormat="1" customHeight="1" ht="23.25">
      <c r="A245" s="4183"/>
      <c r="B245" s="4183"/>
      <c r="C245" s="4183"/>
      <c r="D245" s="4183"/>
      <c r="E245" s="4184"/>
      <c r="F245" s="4184" t="s">
        <v>145</v>
      </c>
      <c r="G245" s="4184"/>
      <c r="H245" s="4184"/>
      <c r="I245" s="4185"/>
      <c r="J245" s="4186" t="str">
        <f>I244&amp;".1"</f>
        <v>1.11.1.1.1</v>
      </c>
      <c r="K245" s="4183"/>
      <c r="L245" s="4187" t="s">
        <v>538</v>
      </c>
      <c r="M245" s="4188"/>
      <c r="N245" s="4188"/>
      <c r="O245" s="4188"/>
      <c r="P245" s="4189"/>
      <c r="Q245" s="4189">
        <v>1</v>
      </c>
      <c r="R245" s="4191"/>
      <c r="S245" s="4192" t="str">
        <f>$J245</f>
        <v>1.11.1.1.1</v>
      </c>
      <c r="T245" s="4193" t="s">
        <v>539</v>
      </c>
      <c r="U245" s="4194"/>
      <c r="V245" s="3874"/>
      <c r="W245" s="3875"/>
      <c r="X245" s="3875"/>
      <c r="Y245" s="3875"/>
      <c r="Z245" s="3875"/>
      <c r="AA245" s="3875"/>
      <c r="AB245" s="3876"/>
      <c r="AC245" s="3874" t="s">
        <v>625</v>
      </c>
      <c r="AD245" s="3875"/>
      <c r="AE245" s="3875"/>
      <c r="AF245" s="3875"/>
      <c r="AG245" s="3875"/>
      <c r="AH245" s="3875"/>
      <c r="AI245" s="3875"/>
      <c r="AJ245" s="3874"/>
      <c r="AK245" s="3875"/>
      <c r="AL245" s="3875"/>
      <c r="AM245" s="3875"/>
      <c r="AN245" s="3875"/>
      <c r="AO245" s="3875"/>
      <c r="AP245" s="3876"/>
      <c r="AQ245" s="3874"/>
      <c r="AR245" s="3875"/>
      <c r="AS245" s="3875"/>
      <c r="AT245" s="3875"/>
      <c r="AU245" s="3875"/>
      <c r="AV245" s="3875"/>
      <c r="AW245" s="3876"/>
      <c r="AX245" s="3874"/>
      <c r="AY245" s="3875"/>
      <c r="AZ245" s="3875"/>
      <c r="BA245" s="3875"/>
      <c r="BB245" s="3875"/>
      <c r="BC245" s="3875"/>
      <c r="BD245" s="3876"/>
      <c r="BE245" s="3874"/>
      <c r="BF245" s="3875"/>
      <c r="BG245" s="3875"/>
      <c r="BH245" s="3875"/>
      <c r="BI245" s="3875"/>
      <c r="BJ245" s="3875"/>
      <c r="BK245" s="3876"/>
      <c r="BL245" s="3874"/>
      <c r="BM245" s="3875"/>
      <c r="BN245" s="3875"/>
      <c r="BO245" s="3875"/>
      <c r="BP245" s="3875"/>
      <c r="BQ245" s="3875"/>
      <c r="BR245" s="3876"/>
      <c r="BS245" s="3874"/>
      <c r="BT245" s="3875"/>
      <c r="BU245" s="3875"/>
      <c r="BV245" s="3875"/>
      <c r="BW245" s="3875"/>
      <c r="BX245" s="3875"/>
      <c r="BY245" s="3876"/>
      <c r="BZ245" s="3874"/>
      <c r="CA245" s="3875"/>
      <c r="CB245" s="3875"/>
      <c r="CC245" s="3875"/>
      <c r="CD245" s="3875"/>
      <c r="CE245" s="3875"/>
      <c r="CF245" s="3876"/>
      <c r="CG245" s="3874"/>
      <c r="CH245" s="3875"/>
      <c r="CI245" s="3875"/>
      <c r="CJ245" s="3875"/>
      <c r="CK245" s="3875"/>
      <c r="CL245" s="3875"/>
      <c r="CM245" s="3876"/>
      <c r="CN245" s="3874"/>
      <c r="CO245" s="3875"/>
      <c r="CP245" s="3875"/>
      <c r="CQ245" s="3875"/>
      <c r="CR245" s="3875"/>
      <c r="CS245" s="3875"/>
      <c r="CT245" s="3876"/>
      <c r="CU245" s="3876"/>
      <c r="CV245" s="4195" t="s">
        <v>614</v>
      </c>
      <c r="CW245" s="4093"/>
      <c r="CX245" s="4196"/>
      <c r="CY245" s="4196" t="str">
        <f>IF(T245="","",T245)</f>
        <v>Группа потребителей</v>
      </c>
      <c r="CZ245" s="4196"/>
      <c r="DA245" s="4196"/>
      <c r="DB245" s="3858">
        <v>0</v>
      </c>
    </row>
    <row s="8858" customFormat="1" customHeight="1" ht="23.25">
      <c r="A246" s="4183"/>
      <c r="B246" s="4183"/>
      <c r="C246" s="4183"/>
      <c r="D246" s="4183"/>
      <c r="E246" s="4184"/>
      <c r="F246" s="4184" t="s">
        <v>145</v>
      </c>
      <c r="G246" s="4184"/>
      <c r="H246" s="4184"/>
      <c r="I246" s="4185"/>
      <c r="J246" s="4185"/>
      <c r="K246" s="4186" t="str">
        <f>J245&amp;".1"</f>
        <v>1.11.1.1.1.1</v>
      </c>
      <c r="L246" s="4187"/>
      <c r="M246" s="4188"/>
      <c r="N246" s="4188"/>
      <c r="O246" s="4188"/>
      <c r="P246" s="4189"/>
      <c r="Q246" s="4189"/>
      <c r="R246" s="4191">
        <v>1</v>
      </c>
      <c r="S246" s="4192" t="str">
        <f>$K246</f>
        <v>1.11.1.1.1.1</v>
      </c>
      <c r="T246" s="4198"/>
      <c r="U246" s="4194"/>
      <c r="V246" s="3878"/>
      <c r="W246" s="3878"/>
      <c r="X246" s="3879"/>
      <c r="Y246" s="3880"/>
      <c r="Z246" s="3881" t="s">
        <v>65</v>
      </c>
      <c r="AA246" s="3880"/>
      <c r="AB246" s="3881" t="s">
        <v>65</v>
      </c>
      <c r="AC246" s="3878">
        <v>51.99</v>
      </c>
      <c r="AD246" s="3878"/>
      <c r="AE246" s="3879"/>
      <c r="AF246" s="3880">
        <v>45292</v>
      </c>
      <c r="AG246" s="3881" t="s">
        <v>65</v>
      </c>
      <c r="AH246" s="4116">
        <v>45473</v>
      </c>
      <c r="AI246" s="3881" t="s">
        <v>65</v>
      </c>
      <c r="AJ246" s="3878">
        <v>54.69</v>
      </c>
      <c r="AK246" s="3878"/>
      <c r="AL246" s="3879"/>
      <c r="AM246" s="3880">
        <v>45474</v>
      </c>
      <c r="AN246" s="3881" t="s">
        <v>65</v>
      </c>
      <c r="AO246" s="3880">
        <v>45657</v>
      </c>
      <c r="AP246" s="3881" t="s">
        <v>65</v>
      </c>
      <c r="AQ246" s="3878">
        <v>54.69</v>
      </c>
      <c r="AR246" s="3878"/>
      <c r="AS246" s="3879"/>
      <c r="AT246" s="3880">
        <v>45658</v>
      </c>
      <c r="AU246" s="3881" t="s">
        <v>65</v>
      </c>
      <c r="AV246" s="3880">
        <v>45838</v>
      </c>
      <c r="AW246" s="3881" t="s">
        <v>65</v>
      </c>
      <c r="AX246" s="3878">
        <v>60.3</v>
      </c>
      <c r="AY246" s="3878"/>
      <c r="AZ246" s="3879"/>
      <c r="BA246" s="3880">
        <v>45839</v>
      </c>
      <c r="BB246" s="3881" t="s">
        <v>65</v>
      </c>
      <c r="BC246" s="3880">
        <v>46022</v>
      </c>
      <c r="BD246" s="3881" t="s">
        <v>65</v>
      </c>
      <c r="BE246" s="3878">
        <v>57.81</v>
      </c>
      <c r="BF246" s="3878"/>
      <c r="BG246" s="3879"/>
      <c r="BH246" s="3880">
        <v>46023</v>
      </c>
      <c r="BI246" s="3881" t="s">
        <v>65</v>
      </c>
      <c r="BJ246" s="3880">
        <v>46203</v>
      </c>
      <c r="BK246" s="3881" t="s">
        <v>65</v>
      </c>
      <c r="BL246" s="3878">
        <v>60.12</v>
      </c>
      <c r="BM246" s="3878"/>
      <c r="BN246" s="3879"/>
      <c r="BO246" s="3880">
        <v>46204</v>
      </c>
      <c r="BP246" s="3881" t="s">
        <v>65</v>
      </c>
      <c r="BQ246" s="3880">
        <v>46387</v>
      </c>
      <c r="BR246" s="3881" t="s">
        <v>65</v>
      </c>
      <c r="BS246" s="3878">
        <v>60.12</v>
      </c>
      <c r="BT246" s="3878"/>
      <c r="BU246" s="3879"/>
      <c r="BV246" s="3880">
        <v>46388</v>
      </c>
      <c r="BW246" s="3881" t="s">
        <v>65</v>
      </c>
      <c r="BX246" s="3880">
        <v>46568</v>
      </c>
      <c r="BY246" s="3881" t="s">
        <v>65</v>
      </c>
      <c r="BZ246" s="3878">
        <v>62.52</v>
      </c>
      <c r="CA246" s="3878"/>
      <c r="CB246" s="3879"/>
      <c r="CC246" s="3880">
        <v>46569</v>
      </c>
      <c r="CD246" s="3881" t="s">
        <v>65</v>
      </c>
      <c r="CE246" s="3880">
        <v>46752</v>
      </c>
      <c r="CF246" s="3881" t="s">
        <v>65</v>
      </c>
      <c r="CG246" s="3878">
        <v>62.52</v>
      </c>
      <c r="CH246" s="3878"/>
      <c r="CI246" s="3879"/>
      <c r="CJ246" s="3880">
        <v>46753</v>
      </c>
      <c r="CK246" s="3881" t="s">
        <v>65</v>
      </c>
      <c r="CL246" s="3880">
        <v>46934</v>
      </c>
      <c r="CM246" s="3881" t="s">
        <v>65</v>
      </c>
      <c r="CN246" s="3878">
        <v>65.02</v>
      </c>
      <c r="CO246" s="3878"/>
      <c r="CP246" s="3879"/>
      <c r="CQ246" s="3880">
        <v>46935</v>
      </c>
      <c r="CR246" s="3881" t="s">
        <v>65</v>
      </c>
      <c r="CS246" s="3880">
        <v>47118</v>
      </c>
      <c r="CT246" s="3881" t="s">
        <v>65</v>
      </c>
      <c r="CU246" s="4199"/>
      <c r="CV24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46" s="4093">
        <f>STRCHECKDATE(V247:CU247)</f>
      </c>
      <c r="CX246" s="4196"/>
      <c r="CY246" s="4196" t="str">
        <f>IF(T246="","",T246)</f>
        <v/>
      </c>
      <c r="CZ246" s="4196"/>
      <c r="DA246" s="4196"/>
      <c r="DB246" s="3858">
        <v>0</v>
      </c>
    </row>
    <row s="8859" customFormat="1" customHeight="1" ht="14.25">
      <c r="A247" s="4183"/>
      <c r="B247" s="4183"/>
      <c r="C247" s="4183"/>
      <c r="D247" s="4183"/>
      <c r="E247" s="4184"/>
      <c r="F247" s="4184" t="s">
        <v>145</v>
      </c>
      <c r="G247" s="4184"/>
      <c r="H247" s="4184"/>
      <c r="I247" s="4185"/>
      <c r="J247" s="4185"/>
      <c r="K247" s="4186"/>
      <c r="L247" s="4187"/>
      <c r="M247" s="4188"/>
      <c r="N247" s="4188"/>
      <c r="O247" s="4188"/>
      <c r="P247" s="4189"/>
      <c r="Q247" s="4189"/>
      <c r="R247" s="4191"/>
      <c r="S247" s="4202"/>
      <c r="T247" s="4194"/>
      <c r="U247" s="4194"/>
      <c r="V247" s="3885"/>
      <c r="W247" s="3885"/>
      <c r="X247" s="3886" t="str">
        <f>Y246&amp;"-"&amp;AA246</f>
        <v>-</v>
      </c>
      <c r="Y247" s="3887"/>
      <c r="Z247" s="3881"/>
      <c r="AA247" s="3887"/>
      <c r="AB247" s="3881"/>
      <c r="AC247" s="3885"/>
      <c r="AD247" s="3885"/>
      <c r="AE247" s="3886" t="str">
        <f>AF246&amp;"-"&amp;AH246</f>
        <v>45292-45473</v>
      </c>
      <c r="AF247" s="3887"/>
      <c r="AG247" s="3881"/>
      <c r="AH247" s="4118"/>
      <c r="AI247" s="3881"/>
      <c r="AJ247" s="3885"/>
      <c r="AK247" s="3885"/>
      <c r="AL247" s="3886" t="str">
        <f>AM246&amp;"-"&amp;AO246</f>
        <v>45474-45657</v>
      </c>
      <c r="AM247" s="3887"/>
      <c r="AN247" s="3881"/>
      <c r="AO247" s="3887"/>
      <c r="AP247" s="3881"/>
      <c r="AQ247" s="3885"/>
      <c r="AR247" s="3885"/>
      <c r="AS247" s="3886" t="str">
        <f>AT246&amp;"-"&amp;AV246</f>
        <v>45658-45838</v>
      </c>
      <c r="AT247" s="3887"/>
      <c r="AU247" s="3881"/>
      <c r="AV247" s="3887"/>
      <c r="AW247" s="3881"/>
      <c r="AX247" s="3885"/>
      <c r="AY247" s="3885"/>
      <c r="AZ247" s="3886" t="str">
        <f>BA246&amp;"-"&amp;BC246</f>
        <v>45839-46022</v>
      </c>
      <c r="BA247" s="3887"/>
      <c r="BB247" s="3881"/>
      <c r="BC247" s="3887"/>
      <c r="BD247" s="3881"/>
      <c r="BE247" s="3885"/>
      <c r="BF247" s="3885"/>
      <c r="BG247" s="3886" t="str">
        <f>BH246&amp;"-"&amp;BJ246</f>
        <v>46023-46203</v>
      </c>
      <c r="BH247" s="3887"/>
      <c r="BI247" s="3881"/>
      <c r="BJ247" s="3887"/>
      <c r="BK247" s="3881"/>
      <c r="BL247" s="3885"/>
      <c r="BM247" s="3885"/>
      <c r="BN247" s="3886" t="str">
        <f>BO246&amp;"-"&amp;BQ246</f>
        <v>46204-46387</v>
      </c>
      <c r="BO247" s="3887"/>
      <c r="BP247" s="3881"/>
      <c r="BQ247" s="3887"/>
      <c r="BR247" s="3881"/>
      <c r="BS247" s="3885"/>
      <c r="BT247" s="3885"/>
      <c r="BU247" s="3886" t="str">
        <f>BV246&amp;"-"&amp;BX246</f>
        <v>46388-46568</v>
      </c>
      <c r="BV247" s="3887"/>
      <c r="BW247" s="3881"/>
      <c r="BX247" s="3887"/>
      <c r="BY247" s="3881"/>
      <c r="BZ247" s="3885"/>
      <c r="CA247" s="3885"/>
      <c r="CB247" s="3886" t="str">
        <f>CC246&amp;"-"&amp;CE246</f>
        <v>46569-46752</v>
      </c>
      <c r="CC247" s="3887"/>
      <c r="CD247" s="3881"/>
      <c r="CE247" s="3887"/>
      <c r="CF247" s="3881"/>
      <c r="CG247" s="3885"/>
      <c r="CH247" s="3885"/>
      <c r="CI247" s="3886" t="str">
        <f>CJ246&amp;"-"&amp;CL246</f>
        <v>46753-46934</v>
      </c>
      <c r="CJ247" s="3887"/>
      <c r="CK247" s="3881"/>
      <c r="CL247" s="3887"/>
      <c r="CM247" s="3881"/>
      <c r="CN247" s="3885"/>
      <c r="CO247" s="3885"/>
      <c r="CP247" s="3886" t="str">
        <f>CQ246&amp;"-"&amp;CS246</f>
        <v>46935-47118</v>
      </c>
      <c r="CQ247" s="3887"/>
      <c r="CR247" s="3881"/>
      <c r="CS247" s="3887"/>
      <c r="CT247" s="3881"/>
      <c r="CU247" s="4203"/>
      <c r="CV247" s="4200"/>
      <c r="CW247" s="4093"/>
      <c r="CX247" s="4196"/>
      <c r="CY247" s="4196" t="str">
        <f>IF(T247="","",T247)</f>
        <v/>
      </c>
      <c r="CZ247" s="4196"/>
      <c r="DA247" s="4196"/>
      <c r="DB247" s="3858">
        <v>0</v>
      </c>
    </row>
    <row s="8860" customFormat="1" customHeight="1" ht="21">
      <c r="A248" s="4183"/>
      <c r="B248" s="4183"/>
      <c r="C248" s="4183"/>
      <c r="D248" s="4183"/>
      <c r="E248" s="4184"/>
      <c r="F248" s="4184" t="s">
        <v>145</v>
      </c>
      <c r="G248" s="4184"/>
      <c r="H248" s="4184"/>
      <c r="I248" s="4185"/>
      <c r="J248" s="4186"/>
      <c r="K248" s="4183"/>
      <c r="L248" s="4187"/>
      <c r="M248" s="4188"/>
      <c r="N248" s="4188"/>
      <c r="O248" s="4188"/>
      <c r="P248" s="4189"/>
      <c r="Q248" s="4189"/>
      <c r="R248" s="4205"/>
      <c r="S248" s="8861"/>
      <c r="T248" s="8862" t="s">
        <v>615</v>
      </c>
      <c r="U248" s="8863"/>
      <c r="V248" s="8864"/>
      <c r="W248" s="8865"/>
      <c r="X248" s="8866"/>
      <c r="Y248" s="8867"/>
      <c r="Z248" s="8868"/>
      <c r="AA248" s="8869"/>
      <c r="AB248" s="8870"/>
      <c r="AC248" s="8871"/>
      <c r="AD248" s="8872"/>
      <c r="AE248" s="8873"/>
      <c r="AF248" s="8874"/>
      <c r="AG248" s="8875"/>
      <c r="AH248" s="8876"/>
      <c r="AI248" s="8877"/>
      <c r="AJ248" s="8878"/>
      <c r="AK248" s="8879"/>
      <c r="AL248" s="8880"/>
      <c r="AM248" s="8881"/>
      <c r="AN248" s="8882"/>
      <c r="AO248" s="8883"/>
      <c r="AP248" s="8884"/>
      <c r="AQ248" s="8885"/>
      <c r="AR248" s="8886"/>
      <c r="AS248" s="8887"/>
      <c r="AT248" s="8888"/>
      <c r="AU248" s="8889"/>
      <c r="AV248" s="8890"/>
      <c r="AW248" s="8891"/>
      <c r="AX248" s="8892"/>
      <c r="AY248" s="8893"/>
      <c r="AZ248" s="8894"/>
      <c r="BA248" s="8895"/>
      <c r="BB248" s="8896"/>
      <c r="BC248" s="8897"/>
      <c r="BD248" s="8898"/>
      <c r="BE248" s="8899"/>
      <c r="BF248" s="8900"/>
      <c r="BG248" s="8901"/>
      <c r="BH248" s="8902"/>
      <c r="BI248" s="8903"/>
      <c r="BJ248" s="8904"/>
      <c r="BK248" s="8905"/>
      <c r="BL248" s="8906"/>
      <c r="BM248" s="8907"/>
      <c r="BN248" s="8908"/>
      <c r="BO248" s="8909"/>
      <c r="BP248" s="8910"/>
      <c r="BQ248" s="8911"/>
      <c r="BR248" s="8912"/>
      <c r="BS248" s="8913"/>
      <c r="BT248" s="8914"/>
      <c r="BU248" s="8915"/>
      <c r="BV248" s="8916"/>
      <c r="BW248" s="8917"/>
      <c r="BX248" s="8918"/>
      <c r="BY248" s="8919"/>
      <c r="BZ248" s="8920"/>
      <c r="CA248" s="8921"/>
      <c r="CB248" s="8922"/>
      <c r="CC248" s="8923"/>
      <c r="CD248" s="8924"/>
      <c r="CE248" s="8925"/>
      <c r="CF248" s="8926"/>
      <c r="CG248" s="8927"/>
      <c r="CH248" s="8928"/>
      <c r="CI248" s="8929"/>
      <c r="CJ248" s="8930"/>
      <c r="CK248" s="8931"/>
      <c r="CL248" s="8932"/>
      <c r="CM248" s="8933"/>
      <c r="CN248" s="8934"/>
      <c r="CO248" s="8935"/>
      <c r="CP248" s="8936"/>
      <c r="CQ248" s="8937"/>
      <c r="CR248" s="8938"/>
      <c r="CS248" s="8939"/>
      <c r="CT248" s="8940"/>
      <c r="CU248" s="8941"/>
      <c r="CV248" s="4287" t="s">
        <v>616</v>
      </c>
      <c r="CW248" s="4093"/>
      <c r="CX248" s="4196"/>
      <c r="CY248" s="4196" t="str">
        <f>IF(T248="","",T248)</f>
        <v>Добавить значение признака дифференциации</v>
      </c>
      <c r="CZ248" s="4196"/>
      <c r="DA248" s="4196"/>
      <c r="DB248" s="3858">
        <v>0</v>
      </c>
    </row>
    <row s="8942" customFormat="1" customHeight="1" ht="23.25">
      <c r="A249" s="4183"/>
      <c r="B249" s="4183"/>
      <c r="C249" s="4183"/>
      <c r="D249" s="4183"/>
      <c r="E249" s="4184"/>
      <c r="F249" s="4184"/>
      <c r="G249" s="4184"/>
      <c r="H249" s="4184"/>
      <c r="I249" s="4185"/>
      <c r="J249" s="4186" t="str">
        <f>I244&amp;".2"</f>
        <v>1.11.1.1.2</v>
      </c>
      <c r="K249" s="4183"/>
      <c r="L249" s="4187" t="s">
        <v>538</v>
      </c>
      <c r="M249" s="4188"/>
      <c r="N249" s="4188"/>
      <c r="O249" s="4188"/>
      <c r="P249" s="4189"/>
      <c r="Q249" s="4190" t="s">
        <v>109</v>
      </c>
      <c r="R249" s="4191"/>
      <c r="S249" s="4192" t="str">
        <f>$J249</f>
        <v>1.11.1.1.2</v>
      </c>
      <c r="T249" s="4193" t="s">
        <v>539</v>
      </c>
      <c r="U249" s="4194"/>
      <c r="V249" s="3874"/>
      <c r="W249" s="3875"/>
      <c r="X249" s="3875"/>
      <c r="Y249" s="3875"/>
      <c r="Z249" s="3875"/>
      <c r="AA249" s="3875"/>
      <c r="AB249" s="3876"/>
      <c r="AC249" s="3874" t="s">
        <v>626</v>
      </c>
      <c r="AD249" s="3875"/>
      <c r="AE249" s="3875"/>
      <c r="AF249" s="3875"/>
      <c r="AG249" s="3875"/>
      <c r="AH249" s="3875"/>
      <c r="AI249" s="3875"/>
      <c r="AJ249" s="3874"/>
      <c r="AK249" s="3875"/>
      <c r="AL249" s="3875"/>
      <c r="AM249" s="3875"/>
      <c r="AN249" s="3875"/>
      <c r="AO249" s="3875"/>
      <c r="AP249" s="3876"/>
      <c r="AQ249" s="3874"/>
      <c r="AR249" s="3875"/>
      <c r="AS249" s="3875"/>
      <c r="AT249" s="3875"/>
      <c r="AU249" s="3875"/>
      <c r="AV249" s="3875"/>
      <c r="AW249" s="3876"/>
      <c r="AX249" s="3874"/>
      <c r="AY249" s="3875"/>
      <c r="AZ249" s="3875"/>
      <c r="BA249" s="3875"/>
      <c r="BB249" s="3875"/>
      <c r="BC249" s="3875"/>
      <c r="BD249" s="3876"/>
      <c r="BE249" s="3874"/>
      <c r="BF249" s="3875"/>
      <c r="BG249" s="3875"/>
      <c r="BH249" s="3875"/>
      <c r="BI249" s="3875"/>
      <c r="BJ249" s="3875"/>
      <c r="BK249" s="3876"/>
      <c r="BL249" s="3874"/>
      <c r="BM249" s="3875"/>
      <c r="BN249" s="3875"/>
      <c r="BO249" s="3875"/>
      <c r="BP249" s="3875"/>
      <c r="BQ249" s="3875"/>
      <c r="BR249" s="3876"/>
      <c r="BS249" s="3874"/>
      <c r="BT249" s="3875"/>
      <c r="BU249" s="3875"/>
      <c r="BV249" s="3875"/>
      <c r="BW249" s="3875"/>
      <c r="BX249" s="3875"/>
      <c r="BY249" s="3876"/>
      <c r="BZ249" s="3874"/>
      <c r="CA249" s="3875"/>
      <c r="CB249" s="3875"/>
      <c r="CC249" s="3875"/>
      <c r="CD249" s="3875"/>
      <c r="CE249" s="3875"/>
      <c r="CF249" s="3876"/>
      <c r="CG249" s="3874"/>
      <c r="CH249" s="3875"/>
      <c r="CI249" s="3875"/>
      <c r="CJ249" s="3875"/>
      <c r="CK249" s="3875"/>
      <c r="CL249" s="3875"/>
      <c r="CM249" s="3876"/>
      <c r="CN249" s="3874"/>
      <c r="CO249" s="3875"/>
      <c r="CP249" s="3875"/>
      <c r="CQ249" s="3875"/>
      <c r="CR249" s="3875"/>
      <c r="CS249" s="3875"/>
      <c r="CT249" s="3876"/>
      <c r="CU249" s="3876"/>
      <c r="CV249" s="4195" t="s">
        <v>614</v>
      </c>
      <c r="CW249" s="4093"/>
      <c r="CX249" s="4196"/>
      <c r="CY249" s="4196" t="str">
        <f>IF(T249="","",T249)</f>
        <v>Группа потребителей</v>
      </c>
      <c r="CZ249" s="4196"/>
      <c r="DA249" s="4196"/>
      <c r="DB249" s="3858">
        <v>0</v>
      </c>
    </row>
    <row s="8943" customFormat="1" customHeight="1" ht="23.25">
      <c r="A250" s="4183"/>
      <c r="B250" s="4183"/>
      <c r="C250" s="4183"/>
      <c r="D250" s="4183"/>
      <c r="E250" s="4184"/>
      <c r="F250" s="4184"/>
      <c r="G250" s="4184"/>
      <c r="H250" s="4184"/>
      <c r="I250" s="4185"/>
      <c r="J250" s="4185" t="str">
        <f>I244&amp;".1"</f>
        <v>1.11.1.1.1</v>
      </c>
      <c r="K250" s="4186" t="str">
        <f>J249&amp;".1"</f>
        <v>1.11.1.1.2.1</v>
      </c>
      <c r="L250" s="4187"/>
      <c r="M250" s="4188"/>
      <c r="N250" s="4188"/>
      <c r="O250" s="4188"/>
      <c r="P250" s="4189"/>
      <c r="Q250" s="4189"/>
      <c r="R250" s="4191">
        <v>1</v>
      </c>
      <c r="S250" s="4192" t="str">
        <f>$K250</f>
        <v>1.11.1.1.2.1</v>
      </c>
      <c r="T250" s="4198"/>
      <c r="U250" s="4194"/>
      <c r="V250" s="3878"/>
      <c r="W250" s="3878"/>
      <c r="X250" s="3879"/>
      <c r="Y250" s="3880"/>
      <c r="Z250" s="3881" t="s">
        <v>65</v>
      </c>
      <c r="AA250" s="3880"/>
      <c r="AB250" s="3881" t="s">
        <v>65</v>
      </c>
      <c r="AC250" s="3878">
        <v>51.99</v>
      </c>
      <c r="AD250" s="3878"/>
      <c r="AE250" s="3879"/>
      <c r="AF250" s="3880">
        <v>45292</v>
      </c>
      <c r="AG250" s="3881" t="s">
        <v>65</v>
      </c>
      <c r="AH250" s="4116">
        <v>45473</v>
      </c>
      <c r="AI250" s="3881" t="s">
        <v>65</v>
      </c>
      <c r="AJ250" s="3878">
        <v>54.69</v>
      </c>
      <c r="AK250" s="3878"/>
      <c r="AL250" s="3879"/>
      <c r="AM250" s="3880">
        <v>45474</v>
      </c>
      <c r="AN250" s="3881" t="s">
        <v>65</v>
      </c>
      <c r="AO250" s="3880">
        <v>45657</v>
      </c>
      <c r="AP250" s="3881" t="s">
        <v>65</v>
      </c>
      <c r="AQ250" s="3878">
        <v>54.69</v>
      </c>
      <c r="AR250" s="3878"/>
      <c r="AS250" s="3879"/>
      <c r="AT250" s="3880">
        <v>45658</v>
      </c>
      <c r="AU250" s="3881" t="s">
        <v>65</v>
      </c>
      <c r="AV250" s="3880">
        <v>45838</v>
      </c>
      <c r="AW250" s="3881" t="s">
        <v>65</v>
      </c>
      <c r="AX250" s="3878">
        <v>57.43</v>
      </c>
      <c r="AY250" s="3878"/>
      <c r="AZ250" s="3879"/>
      <c r="BA250" s="3880">
        <v>45839</v>
      </c>
      <c r="BB250" s="3881" t="s">
        <v>65</v>
      </c>
      <c r="BC250" s="3880">
        <v>46022</v>
      </c>
      <c r="BD250" s="3881" t="s">
        <v>65</v>
      </c>
      <c r="BE250" s="3878">
        <v>62.55</v>
      </c>
      <c r="BF250" s="3878"/>
      <c r="BG250" s="3879"/>
      <c r="BH250" s="3880">
        <v>46023</v>
      </c>
      <c r="BI250" s="3881" t="s">
        <v>65</v>
      </c>
      <c r="BJ250" s="3880">
        <v>46203</v>
      </c>
      <c r="BK250" s="3881" t="s">
        <v>65</v>
      </c>
      <c r="BL250" s="3878">
        <v>68.84</v>
      </c>
      <c r="BM250" s="3878"/>
      <c r="BN250" s="3879"/>
      <c r="BO250" s="3880">
        <v>46204</v>
      </c>
      <c r="BP250" s="3881" t="s">
        <v>65</v>
      </c>
      <c r="BQ250" s="3880">
        <v>46387</v>
      </c>
      <c r="BR250" s="3881" t="s">
        <v>65</v>
      </c>
      <c r="BS250" s="3878">
        <v>68.84</v>
      </c>
      <c r="BT250" s="3878"/>
      <c r="BU250" s="3879"/>
      <c r="BV250" s="3880">
        <v>46388</v>
      </c>
      <c r="BW250" s="3881" t="s">
        <v>65</v>
      </c>
      <c r="BX250" s="3880">
        <v>46568</v>
      </c>
      <c r="BY250" s="3881" t="s">
        <v>65</v>
      </c>
      <c r="BZ250" s="3878">
        <v>74.46</v>
      </c>
      <c r="CA250" s="3878"/>
      <c r="CB250" s="3879"/>
      <c r="CC250" s="3880">
        <v>46569</v>
      </c>
      <c r="CD250" s="3881" t="s">
        <v>65</v>
      </c>
      <c r="CE250" s="3880">
        <v>46752</v>
      </c>
      <c r="CF250" s="3881" t="s">
        <v>65</v>
      </c>
      <c r="CG250" s="3878">
        <v>74.46</v>
      </c>
      <c r="CH250" s="3878"/>
      <c r="CI250" s="3879"/>
      <c r="CJ250" s="3880">
        <v>46753</v>
      </c>
      <c r="CK250" s="3881" t="s">
        <v>65</v>
      </c>
      <c r="CL250" s="3880">
        <v>46934</v>
      </c>
      <c r="CM250" s="3881" t="s">
        <v>65</v>
      </c>
      <c r="CN250" s="3878">
        <v>81.66</v>
      </c>
      <c r="CO250" s="3878"/>
      <c r="CP250" s="3879"/>
      <c r="CQ250" s="3880">
        <v>46935</v>
      </c>
      <c r="CR250" s="3881" t="s">
        <v>65</v>
      </c>
      <c r="CS250" s="3880">
        <v>47118</v>
      </c>
      <c r="CT250" s="3881" t="s">
        <v>65</v>
      </c>
      <c r="CU250" s="4199"/>
      <c r="CV25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0" s="4093">
        <f>STRCHECKDATE(V251:CU251)</f>
      </c>
      <c r="CX250" s="4196"/>
      <c r="CY250" s="4196" t="str">
        <f>IF(T250="","",T250)</f>
        <v/>
      </c>
      <c r="CZ250" s="4196"/>
      <c r="DA250" s="4196"/>
      <c r="DB250" s="3858">
        <v>0</v>
      </c>
    </row>
    <row s="8944" customFormat="1" customHeight="1" ht="14.25">
      <c r="A251" s="4183"/>
      <c r="B251" s="4183"/>
      <c r="C251" s="4183"/>
      <c r="D251" s="4183"/>
      <c r="E251" s="4184"/>
      <c r="F251" s="4184"/>
      <c r="G251" s="4184"/>
      <c r="H251" s="4184"/>
      <c r="I251" s="4185"/>
      <c r="J251" s="4185" t="str">
        <f>I244&amp;".1"</f>
        <v>1.11.1.1.1</v>
      </c>
      <c r="K251" s="4186"/>
      <c r="L251" s="4187"/>
      <c r="M251" s="4188"/>
      <c r="N251" s="4188"/>
      <c r="O251" s="4188"/>
      <c r="P251" s="4189"/>
      <c r="Q251" s="4189"/>
      <c r="R251" s="4191"/>
      <c r="S251" s="4202"/>
      <c r="T251" s="4194"/>
      <c r="U251" s="4194"/>
      <c r="V251" s="3885"/>
      <c r="W251" s="3885"/>
      <c r="X251" s="3886" t="str">
        <f>Y250&amp;"-"&amp;AA250</f>
        <v>-</v>
      </c>
      <c r="Y251" s="3887"/>
      <c r="Z251" s="3881"/>
      <c r="AA251" s="3887"/>
      <c r="AB251" s="3881"/>
      <c r="AC251" s="3885"/>
      <c r="AD251" s="3885"/>
      <c r="AE251" s="3886" t="str">
        <f>AF250&amp;"-"&amp;AH250</f>
        <v>45292-45473</v>
      </c>
      <c r="AF251" s="3887"/>
      <c r="AG251" s="3881"/>
      <c r="AH251" s="4118"/>
      <c r="AI251" s="3881"/>
      <c r="AJ251" s="3885"/>
      <c r="AK251" s="3885"/>
      <c r="AL251" s="3886" t="str">
        <f>AM250&amp;"-"&amp;AO250</f>
        <v>45474-45657</v>
      </c>
      <c r="AM251" s="3887"/>
      <c r="AN251" s="3881"/>
      <c r="AO251" s="3887"/>
      <c r="AP251" s="3881"/>
      <c r="AQ251" s="3885"/>
      <c r="AR251" s="3885"/>
      <c r="AS251" s="3886" t="str">
        <f>AT250&amp;"-"&amp;AV250</f>
        <v>45658-45838</v>
      </c>
      <c r="AT251" s="3887"/>
      <c r="AU251" s="3881"/>
      <c r="AV251" s="3887"/>
      <c r="AW251" s="3881"/>
      <c r="AX251" s="3885"/>
      <c r="AY251" s="3885"/>
      <c r="AZ251" s="3886" t="str">
        <f>BA250&amp;"-"&amp;BC250</f>
        <v>45839-46022</v>
      </c>
      <c r="BA251" s="3887"/>
      <c r="BB251" s="3881"/>
      <c r="BC251" s="3887"/>
      <c r="BD251" s="3881"/>
      <c r="BE251" s="3885"/>
      <c r="BF251" s="3885"/>
      <c r="BG251" s="3886" t="str">
        <f>BH250&amp;"-"&amp;BJ250</f>
        <v>46023-46203</v>
      </c>
      <c r="BH251" s="3887"/>
      <c r="BI251" s="3881"/>
      <c r="BJ251" s="3887"/>
      <c r="BK251" s="3881"/>
      <c r="BL251" s="3885"/>
      <c r="BM251" s="3885"/>
      <c r="BN251" s="3886" t="str">
        <f>BO250&amp;"-"&amp;BQ250</f>
        <v>46204-46387</v>
      </c>
      <c r="BO251" s="3887"/>
      <c r="BP251" s="3881"/>
      <c r="BQ251" s="3887"/>
      <c r="BR251" s="3881"/>
      <c r="BS251" s="3885"/>
      <c r="BT251" s="3885"/>
      <c r="BU251" s="3886" t="str">
        <f>BV250&amp;"-"&amp;BX250</f>
        <v>46388-46568</v>
      </c>
      <c r="BV251" s="3887"/>
      <c r="BW251" s="3881"/>
      <c r="BX251" s="3887"/>
      <c r="BY251" s="3881"/>
      <c r="BZ251" s="3885"/>
      <c r="CA251" s="3885"/>
      <c r="CB251" s="3886" t="str">
        <f>CC250&amp;"-"&amp;CE250</f>
        <v>46569-46752</v>
      </c>
      <c r="CC251" s="3887"/>
      <c r="CD251" s="3881"/>
      <c r="CE251" s="3887"/>
      <c r="CF251" s="3881"/>
      <c r="CG251" s="3885"/>
      <c r="CH251" s="3885"/>
      <c r="CI251" s="3886" t="str">
        <f>CJ250&amp;"-"&amp;CL250</f>
        <v>46753-46934</v>
      </c>
      <c r="CJ251" s="3887"/>
      <c r="CK251" s="3881"/>
      <c r="CL251" s="3887"/>
      <c r="CM251" s="3881"/>
      <c r="CN251" s="3885"/>
      <c r="CO251" s="3885"/>
      <c r="CP251" s="3886" t="str">
        <f>CQ250&amp;"-"&amp;CS250</f>
        <v>46935-47118</v>
      </c>
      <c r="CQ251" s="3887"/>
      <c r="CR251" s="3881"/>
      <c r="CS251" s="3887"/>
      <c r="CT251" s="3881"/>
      <c r="CU251" s="4203"/>
      <c r="CV251" s="4200"/>
      <c r="CW251" s="4093"/>
      <c r="CX251" s="4196"/>
      <c r="CY251" s="4196" t="str">
        <f>IF(T251="","",T251)</f>
        <v/>
      </c>
      <c r="CZ251" s="4196"/>
      <c r="DA251" s="4196"/>
      <c r="DB251" s="3858">
        <v>0</v>
      </c>
    </row>
    <row s="8945" customFormat="1" customHeight="1" ht="21">
      <c r="A252" s="4183"/>
      <c r="B252" s="4183"/>
      <c r="C252" s="4183"/>
      <c r="D252" s="4183"/>
      <c r="E252" s="4184"/>
      <c r="F252" s="4184"/>
      <c r="G252" s="4184"/>
      <c r="H252" s="4184"/>
      <c r="I252" s="4185"/>
      <c r="J252" s="4186" t="str">
        <f>I244&amp;".1"</f>
        <v>1.11.1.1.1</v>
      </c>
      <c r="K252" s="4183"/>
      <c r="L252" s="4187"/>
      <c r="M252" s="4188"/>
      <c r="N252" s="4188"/>
      <c r="O252" s="4188"/>
      <c r="P252" s="4189"/>
      <c r="Q252" s="4189"/>
      <c r="R252" s="4205"/>
      <c r="S252" s="8946"/>
      <c r="T252" s="8947" t="s">
        <v>615</v>
      </c>
      <c r="U252" s="8948"/>
      <c r="V252" s="8949"/>
      <c r="W252" s="8950"/>
      <c r="X252" s="8951"/>
      <c r="Y252" s="8952"/>
      <c r="Z252" s="8953"/>
      <c r="AA252" s="8954"/>
      <c r="AB252" s="8955"/>
      <c r="AC252" s="8956"/>
      <c r="AD252" s="8957"/>
      <c r="AE252" s="8958"/>
      <c r="AF252" s="8959"/>
      <c r="AG252" s="8960"/>
      <c r="AH252" s="8961"/>
      <c r="AI252" s="8962"/>
      <c r="AJ252" s="8963"/>
      <c r="AK252" s="8964"/>
      <c r="AL252" s="8965"/>
      <c r="AM252" s="8966"/>
      <c r="AN252" s="8967"/>
      <c r="AO252" s="8968"/>
      <c r="AP252" s="8969"/>
      <c r="AQ252" s="8970"/>
      <c r="AR252" s="8971"/>
      <c r="AS252" s="8972"/>
      <c r="AT252" s="8973"/>
      <c r="AU252" s="8974"/>
      <c r="AV252" s="8975"/>
      <c r="AW252" s="8976"/>
      <c r="AX252" s="8977"/>
      <c r="AY252" s="8978"/>
      <c r="AZ252" s="8979"/>
      <c r="BA252" s="8980"/>
      <c r="BB252" s="8981"/>
      <c r="BC252" s="8982"/>
      <c r="BD252" s="8983"/>
      <c r="BE252" s="8984"/>
      <c r="BF252" s="8985"/>
      <c r="BG252" s="8986"/>
      <c r="BH252" s="8987"/>
      <c r="BI252" s="8988"/>
      <c r="BJ252" s="8989"/>
      <c r="BK252" s="8990"/>
      <c r="BL252" s="8991"/>
      <c r="BM252" s="8992"/>
      <c r="BN252" s="8993"/>
      <c r="BO252" s="8994"/>
      <c r="BP252" s="8995"/>
      <c r="BQ252" s="8996"/>
      <c r="BR252" s="8997"/>
      <c r="BS252" s="8998"/>
      <c r="BT252" s="8999"/>
      <c r="BU252" s="9000"/>
      <c r="BV252" s="9001"/>
      <c r="BW252" s="9002"/>
      <c r="BX252" s="9003"/>
      <c r="BY252" s="9004"/>
      <c r="BZ252" s="9005"/>
      <c r="CA252" s="9006"/>
      <c r="CB252" s="9007"/>
      <c r="CC252" s="9008"/>
      <c r="CD252" s="9009"/>
      <c r="CE252" s="9010"/>
      <c r="CF252" s="9011"/>
      <c r="CG252" s="9012"/>
      <c r="CH252" s="9013"/>
      <c r="CI252" s="9014"/>
      <c r="CJ252" s="9015"/>
      <c r="CK252" s="9016"/>
      <c r="CL252" s="9017"/>
      <c r="CM252" s="9018"/>
      <c r="CN252" s="9019"/>
      <c r="CO252" s="9020"/>
      <c r="CP252" s="9021"/>
      <c r="CQ252" s="9022"/>
      <c r="CR252" s="9023"/>
      <c r="CS252" s="9024"/>
      <c r="CT252" s="9025"/>
      <c r="CU252" s="9026"/>
      <c r="CV252" s="4287" t="s">
        <v>616</v>
      </c>
      <c r="CW252" s="4093"/>
      <c r="CX252" s="4196"/>
      <c r="CY252" s="4196" t="str">
        <f>IF(T252="","",T252)</f>
        <v>Добавить значение признака дифференциации</v>
      </c>
      <c r="CZ252" s="4196"/>
      <c r="DA252" s="4196"/>
      <c r="DB252" s="3858">
        <v>0</v>
      </c>
    </row>
    <row s="9027" customFormat="1" customHeight="1" ht="23.25">
      <c r="A253" s="4183"/>
      <c r="B253" s="4183"/>
      <c r="C253" s="4183"/>
      <c r="D253" s="4183"/>
      <c r="E253" s="4184"/>
      <c r="F253" s="4184"/>
      <c r="G253" s="4184"/>
      <c r="H253" s="4184"/>
      <c r="I253" s="4185"/>
      <c r="J253" s="4186" t="str">
        <f>I244&amp;".3"</f>
        <v>1.11.1.1.3</v>
      </c>
      <c r="K253" s="4183"/>
      <c r="L253" s="4187" t="s">
        <v>538</v>
      </c>
      <c r="M253" s="4188"/>
      <c r="N253" s="4188"/>
      <c r="O253" s="4188"/>
      <c r="P253" s="4189"/>
      <c r="Q253" s="4190" t="s">
        <v>109</v>
      </c>
      <c r="R253" s="4191"/>
      <c r="S253" s="4192" t="str">
        <f>$J253</f>
        <v>1.11.1.1.3</v>
      </c>
      <c r="T253" s="4193" t="s">
        <v>539</v>
      </c>
      <c r="U253" s="4194"/>
      <c r="V253" s="3874"/>
      <c r="W253" s="3875"/>
      <c r="X253" s="3875"/>
      <c r="Y253" s="3875"/>
      <c r="Z253" s="3875"/>
      <c r="AA253" s="3875"/>
      <c r="AB253" s="3876"/>
      <c r="AC253" s="3874" t="s">
        <v>627</v>
      </c>
      <c r="AD253" s="3875"/>
      <c r="AE253" s="3875"/>
      <c r="AF253" s="3875"/>
      <c r="AG253" s="3875"/>
      <c r="AH253" s="3875"/>
      <c r="AI253" s="3875"/>
      <c r="AJ253" s="3874"/>
      <c r="AK253" s="3875"/>
      <c r="AL253" s="3875"/>
      <c r="AM253" s="3875"/>
      <c r="AN253" s="3875"/>
      <c r="AO253" s="3875"/>
      <c r="AP253" s="3876"/>
      <c r="AQ253" s="3874"/>
      <c r="AR253" s="3875"/>
      <c r="AS253" s="3875"/>
      <c r="AT253" s="3875"/>
      <c r="AU253" s="3875"/>
      <c r="AV253" s="3875"/>
      <c r="AW253" s="3876"/>
      <c r="AX253" s="3874"/>
      <c r="AY253" s="3875"/>
      <c r="AZ253" s="3875"/>
      <c r="BA253" s="3875"/>
      <c r="BB253" s="3875"/>
      <c r="BC253" s="3875"/>
      <c r="BD253" s="3876"/>
      <c r="BE253" s="3874"/>
      <c r="BF253" s="3875"/>
      <c r="BG253" s="3875"/>
      <c r="BH253" s="3875"/>
      <c r="BI253" s="3875"/>
      <c r="BJ253" s="3875"/>
      <c r="BK253" s="3876"/>
      <c r="BL253" s="3874"/>
      <c r="BM253" s="3875"/>
      <c r="BN253" s="3875"/>
      <c r="BO253" s="3875"/>
      <c r="BP253" s="3875"/>
      <c r="BQ253" s="3875"/>
      <c r="BR253" s="3876"/>
      <c r="BS253" s="3874"/>
      <c r="BT253" s="3875"/>
      <c r="BU253" s="3875"/>
      <c r="BV253" s="3875"/>
      <c r="BW253" s="3875"/>
      <c r="BX253" s="3875"/>
      <c r="BY253" s="3876"/>
      <c r="BZ253" s="3874"/>
      <c r="CA253" s="3875"/>
      <c r="CB253" s="3875"/>
      <c r="CC253" s="3875"/>
      <c r="CD253" s="3875"/>
      <c r="CE253" s="3875"/>
      <c r="CF253" s="3876"/>
      <c r="CG253" s="3874"/>
      <c r="CH253" s="3875"/>
      <c r="CI253" s="3875"/>
      <c r="CJ253" s="3875"/>
      <c r="CK253" s="3875"/>
      <c r="CL253" s="3875"/>
      <c r="CM253" s="3876"/>
      <c r="CN253" s="3874"/>
      <c r="CO253" s="3875"/>
      <c r="CP253" s="3875"/>
      <c r="CQ253" s="3875"/>
      <c r="CR253" s="3875"/>
      <c r="CS253" s="3875"/>
      <c r="CT253" s="3876"/>
      <c r="CU253" s="3876"/>
      <c r="CV253" s="4195" t="s">
        <v>614</v>
      </c>
      <c r="CW253" s="4093"/>
      <c r="CX253" s="4196"/>
      <c r="CY253" s="4196" t="str">
        <f>IF(T253="","",T253)</f>
        <v>Группа потребителей</v>
      </c>
      <c r="CZ253" s="4196"/>
      <c r="DA253" s="4196"/>
      <c r="DB253" s="3858">
        <v>0</v>
      </c>
    </row>
    <row s="9028" customFormat="1" customHeight="1" ht="23.25">
      <c r="A254" s="4183"/>
      <c r="B254" s="4183"/>
      <c r="C254" s="4183"/>
      <c r="D254" s="4183"/>
      <c r="E254" s="4184"/>
      <c r="F254" s="4184"/>
      <c r="G254" s="4184"/>
      <c r="H254" s="4184"/>
      <c r="I254" s="4185"/>
      <c r="J254" s="4185" t="str">
        <f>I244&amp;".2"</f>
        <v>1.11.1.1.2</v>
      </c>
      <c r="K254" s="4186" t="str">
        <f>J253&amp;".1"</f>
        <v>1.11.1.1.3.1</v>
      </c>
      <c r="L254" s="4187"/>
      <c r="M254" s="4188"/>
      <c r="N254" s="4188"/>
      <c r="O254" s="4188"/>
      <c r="P254" s="4189"/>
      <c r="Q254" s="4189"/>
      <c r="R254" s="4191">
        <v>1</v>
      </c>
      <c r="S254" s="4192" t="str">
        <f>$K254</f>
        <v>1.11.1.1.3.1</v>
      </c>
      <c r="T254" s="4198"/>
      <c r="U254" s="4194"/>
      <c r="V254" s="3878"/>
      <c r="W254" s="3878"/>
      <c r="X254" s="3879"/>
      <c r="Y254" s="3880"/>
      <c r="Z254" s="3881" t="s">
        <v>65</v>
      </c>
      <c r="AA254" s="3880"/>
      <c r="AB254" s="3881" t="s">
        <v>65</v>
      </c>
      <c r="AC254" s="3878">
        <v>51.99</v>
      </c>
      <c r="AD254" s="3878"/>
      <c r="AE254" s="3879"/>
      <c r="AF254" s="3880">
        <v>45292</v>
      </c>
      <c r="AG254" s="3881" t="s">
        <v>65</v>
      </c>
      <c r="AH254" s="4116">
        <v>45473</v>
      </c>
      <c r="AI254" s="3881" t="s">
        <v>65</v>
      </c>
      <c r="AJ254" s="3878">
        <v>54.69</v>
      </c>
      <c r="AK254" s="3878"/>
      <c r="AL254" s="3879"/>
      <c r="AM254" s="3880">
        <v>45474</v>
      </c>
      <c r="AN254" s="3881" t="s">
        <v>65</v>
      </c>
      <c r="AO254" s="3880">
        <v>45657</v>
      </c>
      <c r="AP254" s="3881" t="s">
        <v>65</v>
      </c>
      <c r="AQ254" s="3878">
        <v>54.69</v>
      </c>
      <c r="AR254" s="3878"/>
      <c r="AS254" s="3879"/>
      <c r="AT254" s="3880">
        <v>45658</v>
      </c>
      <c r="AU254" s="3881" t="s">
        <v>65</v>
      </c>
      <c r="AV254" s="3880">
        <v>45838</v>
      </c>
      <c r="AW254" s="3881" t="s">
        <v>65</v>
      </c>
      <c r="AX254" s="3878">
        <v>57.43</v>
      </c>
      <c r="AY254" s="3878"/>
      <c r="AZ254" s="3879"/>
      <c r="BA254" s="3880">
        <v>45839</v>
      </c>
      <c r="BB254" s="3881" t="s">
        <v>65</v>
      </c>
      <c r="BC254" s="3880">
        <v>46022</v>
      </c>
      <c r="BD254" s="3881" t="s">
        <v>65</v>
      </c>
      <c r="BE254" s="3878">
        <v>62.55</v>
      </c>
      <c r="BF254" s="3878"/>
      <c r="BG254" s="3879"/>
      <c r="BH254" s="3880">
        <v>46023</v>
      </c>
      <c r="BI254" s="3881" t="s">
        <v>65</v>
      </c>
      <c r="BJ254" s="3880">
        <v>46203</v>
      </c>
      <c r="BK254" s="3881" t="s">
        <v>65</v>
      </c>
      <c r="BL254" s="3878">
        <v>68.84</v>
      </c>
      <c r="BM254" s="3878"/>
      <c r="BN254" s="3879"/>
      <c r="BO254" s="3880">
        <v>46204</v>
      </c>
      <c r="BP254" s="3881" t="s">
        <v>65</v>
      </c>
      <c r="BQ254" s="3880">
        <v>46387</v>
      </c>
      <c r="BR254" s="3881" t="s">
        <v>65</v>
      </c>
      <c r="BS254" s="3878">
        <v>68.84</v>
      </c>
      <c r="BT254" s="3878"/>
      <c r="BU254" s="3879"/>
      <c r="BV254" s="3880">
        <v>46388</v>
      </c>
      <c r="BW254" s="3881" t="s">
        <v>65</v>
      </c>
      <c r="BX254" s="3880">
        <v>46568</v>
      </c>
      <c r="BY254" s="3881" t="s">
        <v>65</v>
      </c>
      <c r="BZ254" s="3878">
        <v>74.46</v>
      </c>
      <c r="CA254" s="3878"/>
      <c r="CB254" s="3879"/>
      <c r="CC254" s="3880">
        <v>46569</v>
      </c>
      <c r="CD254" s="3881" t="s">
        <v>65</v>
      </c>
      <c r="CE254" s="3880">
        <v>46752</v>
      </c>
      <c r="CF254" s="3881" t="s">
        <v>65</v>
      </c>
      <c r="CG254" s="3878">
        <v>74.46</v>
      </c>
      <c r="CH254" s="3878"/>
      <c r="CI254" s="3879"/>
      <c r="CJ254" s="3880">
        <v>46753</v>
      </c>
      <c r="CK254" s="3881" t="s">
        <v>65</v>
      </c>
      <c r="CL254" s="3880">
        <v>46934</v>
      </c>
      <c r="CM254" s="3881" t="s">
        <v>65</v>
      </c>
      <c r="CN254" s="3878">
        <v>81.66</v>
      </c>
      <c r="CO254" s="3878"/>
      <c r="CP254" s="3879"/>
      <c r="CQ254" s="3880">
        <v>46935</v>
      </c>
      <c r="CR254" s="3881" t="s">
        <v>65</v>
      </c>
      <c r="CS254" s="3880">
        <v>47118</v>
      </c>
      <c r="CT254" s="3881" t="s">
        <v>65</v>
      </c>
      <c r="CU254" s="4199"/>
      <c r="CV25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54" s="4093">
        <f>STRCHECKDATE(V255:CU255)</f>
      </c>
      <c r="CX254" s="4196"/>
      <c r="CY254" s="4196" t="str">
        <f>IF(T254="","",T254)</f>
        <v/>
      </c>
      <c r="CZ254" s="4196"/>
      <c r="DA254" s="4196"/>
      <c r="DB254" s="3858">
        <v>0</v>
      </c>
    </row>
    <row s="9029" customFormat="1" customHeight="1" ht="14.25">
      <c r="A255" s="4183"/>
      <c r="B255" s="4183"/>
      <c r="C255" s="4183"/>
      <c r="D255" s="4183"/>
      <c r="E255" s="4184"/>
      <c r="F255" s="4184"/>
      <c r="G255" s="4184"/>
      <c r="H255" s="4184"/>
      <c r="I255" s="4185"/>
      <c r="J255" s="4185" t="str">
        <f>I244&amp;".2"</f>
        <v>1.11.1.1.2</v>
      </c>
      <c r="K255" s="4186"/>
      <c r="L255" s="4187"/>
      <c r="M255" s="4188"/>
      <c r="N255" s="4188"/>
      <c r="O255" s="4188"/>
      <c r="P255" s="4189"/>
      <c r="Q255" s="4189"/>
      <c r="R255" s="4191"/>
      <c r="S255" s="4202"/>
      <c r="T255" s="4194"/>
      <c r="U255" s="4194"/>
      <c r="V255" s="3885"/>
      <c r="W255" s="3885"/>
      <c r="X255" s="3886" t="str">
        <f>Y254&amp;"-"&amp;AA254</f>
        <v>-</v>
      </c>
      <c r="Y255" s="3887"/>
      <c r="Z255" s="3881"/>
      <c r="AA255" s="3887"/>
      <c r="AB255" s="3881"/>
      <c r="AC255" s="3885"/>
      <c r="AD255" s="3885"/>
      <c r="AE255" s="3886" t="str">
        <f>AF254&amp;"-"&amp;AH254</f>
        <v>45292-45473</v>
      </c>
      <c r="AF255" s="3887"/>
      <c r="AG255" s="3881"/>
      <c r="AH255" s="4118"/>
      <c r="AI255" s="3881"/>
      <c r="AJ255" s="3885"/>
      <c r="AK255" s="3885"/>
      <c r="AL255" s="3886" t="str">
        <f>AM254&amp;"-"&amp;AO254</f>
        <v>45474-45657</v>
      </c>
      <c r="AM255" s="3887"/>
      <c r="AN255" s="3881"/>
      <c r="AO255" s="3887"/>
      <c r="AP255" s="3881"/>
      <c r="AQ255" s="3885"/>
      <c r="AR255" s="3885"/>
      <c r="AS255" s="3886" t="str">
        <f>AT254&amp;"-"&amp;AV254</f>
        <v>45658-45838</v>
      </c>
      <c r="AT255" s="3887"/>
      <c r="AU255" s="3881"/>
      <c r="AV255" s="3887"/>
      <c r="AW255" s="3881"/>
      <c r="AX255" s="3885"/>
      <c r="AY255" s="3885"/>
      <c r="AZ255" s="3886" t="str">
        <f>BA254&amp;"-"&amp;BC254</f>
        <v>45839-46022</v>
      </c>
      <c r="BA255" s="3887"/>
      <c r="BB255" s="3881"/>
      <c r="BC255" s="3887"/>
      <c r="BD255" s="3881"/>
      <c r="BE255" s="3885"/>
      <c r="BF255" s="3885"/>
      <c r="BG255" s="3886" t="str">
        <f>BH254&amp;"-"&amp;BJ254</f>
        <v>46023-46203</v>
      </c>
      <c r="BH255" s="3887"/>
      <c r="BI255" s="3881"/>
      <c r="BJ255" s="3887"/>
      <c r="BK255" s="3881"/>
      <c r="BL255" s="3885"/>
      <c r="BM255" s="3885"/>
      <c r="BN255" s="3886" t="str">
        <f>BO254&amp;"-"&amp;BQ254</f>
        <v>46204-46387</v>
      </c>
      <c r="BO255" s="3887"/>
      <c r="BP255" s="3881"/>
      <c r="BQ255" s="3887"/>
      <c r="BR255" s="3881"/>
      <c r="BS255" s="3885"/>
      <c r="BT255" s="3885"/>
      <c r="BU255" s="3886" t="str">
        <f>BV254&amp;"-"&amp;BX254</f>
        <v>46388-46568</v>
      </c>
      <c r="BV255" s="3887"/>
      <c r="BW255" s="3881"/>
      <c r="BX255" s="3887"/>
      <c r="BY255" s="3881"/>
      <c r="BZ255" s="3885"/>
      <c r="CA255" s="3885"/>
      <c r="CB255" s="3886" t="str">
        <f>CC254&amp;"-"&amp;CE254</f>
        <v>46569-46752</v>
      </c>
      <c r="CC255" s="3887"/>
      <c r="CD255" s="3881"/>
      <c r="CE255" s="3887"/>
      <c r="CF255" s="3881"/>
      <c r="CG255" s="3885"/>
      <c r="CH255" s="3885"/>
      <c r="CI255" s="3886" t="str">
        <f>CJ254&amp;"-"&amp;CL254</f>
        <v>46753-46934</v>
      </c>
      <c r="CJ255" s="3887"/>
      <c r="CK255" s="3881"/>
      <c r="CL255" s="3887"/>
      <c r="CM255" s="3881"/>
      <c r="CN255" s="3885"/>
      <c r="CO255" s="3885"/>
      <c r="CP255" s="3886" t="str">
        <f>CQ254&amp;"-"&amp;CS254</f>
        <v>46935-47118</v>
      </c>
      <c r="CQ255" s="3887"/>
      <c r="CR255" s="3881"/>
      <c r="CS255" s="3887"/>
      <c r="CT255" s="3881"/>
      <c r="CU255" s="4203"/>
      <c r="CV255" s="4200"/>
      <c r="CW255" s="4093"/>
      <c r="CX255" s="4196"/>
      <c r="CY255" s="4196" t="str">
        <f>IF(T255="","",T255)</f>
        <v/>
      </c>
      <c r="CZ255" s="4196"/>
      <c r="DA255" s="4196"/>
      <c r="DB255" s="3858">
        <v>0</v>
      </c>
    </row>
    <row s="9030" customFormat="1" customHeight="1" ht="21">
      <c r="A256" s="4183"/>
      <c r="B256" s="4183"/>
      <c r="C256" s="4183"/>
      <c r="D256" s="4183"/>
      <c r="E256" s="4184"/>
      <c r="F256" s="4184"/>
      <c r="G256" s="4184"/>
      <c r="H256" s="4184"/>
      <c r="I256" s="4185"/>
      <c r="J256" s="4186" t="str">
        <f>I244&amp;".2"</f>
        <v>1.11.1.1.2</v>
      </c>
      <c r="K256" s="4183"/>
      <c r="L256" s="4187"/>
      <c r="M256" s="4188"/>
      <c r="N256" s="4188"/>
      <c r="O256" s="4188"/>
      <c r="P256" s="4189"/>
      <c r="Q256" s="4189"/>
      <c r="R256" s="4205"/>
      <c r="S256" s="9031"/>
      <c r="T256" s="9032" t="s">
        <v>615</v>
      </c>
      <c r="U256" s="9033"/>
      <c r="V256" s="9034"/>
      <c r="W256" s="9035"/>
      <c r="X256" s="9036"/>
      <c r="Y256" s="9037"/>
      <c r="Z256" s="9038"/>
      <c r="AA256" s="9039"/>
      <c r="AB256" s="9040"/>
      <c r="AC256" s="9041"/>
      <c r="AD256" s="9042"/>
      <c r="AE256" s="9043"/>
      <c r="AF256" s="9044"/>
      <c r="AG256" s="9045"/>
      <c r="AH256" s="9046"/>
      <c r="AI256" s="9047"/>
      <c r="AJ256" s="9048"/>
      <c r="AK256" s="9049"/>
      <c r="AL256" s="9050"/>
      <c r="AM256" s="9051"/>
      <c r="AN256" s="9052"/>
      <c r="AO256" s="9053"/>
      <c r="AP256" s="9054"/>
      <c r="AQ256" s="9055"/>
      <c r="AR256" s="9056"/>
      <c r="AS256" s="9057"/>
      <c r="AT256" s="9058"/>
      <c r="AU256" s="9059"/>
      <c r="AV256" s="9060"/>
      <c r="AW256" s="9061"/>
      <c r="AX256" s="9062"/>
      <c r="AY256" s="9063"/>
      <c r="AZ256" s="9064"/>
      <c r="BA256" s="9065"/>
      <c r="BB256" s="9066"/>
      <c r="BC256" s="9067"/>
      <c r="BD256" s="9068"/>
      <c r="BE256" s="9069"/>
      <c r="BF256" s="9070"/>
      <c r="BG256" s="9071"/>
      <c r="BH256" s="9072"/>
      <c r="BI256" s="9073"/>
      <c r="BJ256" s="9074"/>
      <c r="BK256" s="9075"/>
      <c r="BL256" s="9076"/>
      <c r="BM256" s="9077"/>
      <c r="BN256" s="9078"/>
      <c r="BO256" s="9079"/>
      <c r="BP256" s="9080"/>
      <c r="BQ256" s="9081"/>
      <c r="BR256" s="9082"/>
      <c r="BS256" s="9083"/>
      <c r="BT256" s="9084"/>
      <c r="BU256" s="9085"/>
      <c r="BV256" s="9086"/>
      <c r="BW256" s="9087"/>
      <c r="BX256" s="9088"/>
      <c r="BY256" s="9089"/>
      <c r="BZ256" s="9090"/>
      <c r="CA256" s="9091"/>
      <c r="CB256" s="9092"/>
      <c r="CC256" s="9093"/>
      <c r="CD256" s="9094"/>
      <c r="CE256" s="9095"/>
      <c r="CF256" s="9096"/>
      <c r="CG256" s="9097"/>
      <c r="CH256" s="9098"/>
      <c r="CI256" s="9099"/>
      <c r="CJ256" s="9100"/>
      <c r="CK256" s="9101"/>
      <c r="CL256" s="9102"/>
      <c r="CM256" s="9103"/>
      <c r="CN256" s="9104"/>
      <c r="CO256" s="9105"/>
      <c r="CP256" s="9106"/>
      <c r="CQ256" s="9107"/>
      <c r="CR256" s="9108"/>
      <c r="CS256" s="9109"/>
      <c r="CT256" s="9110"/>
      <c r="CU256" s="9111"/>
      <c r="CV256" s="4287" t="s">
        <v>616</v>
      </c>
      <c r="CW256" s="4093"/>
      <c r="CX256" s="4196"/>
      <c r="CY256" s="4196" t="str">
        <f>IF(T256="","",T256)</f>
        <v>Добавить значение признака дифференциации</v>
      </c>
      <c r="CZ256" s="4196"/>
      <c r="DA256" s="4196"/>
      <c r="DB256" s="3858">
        <v>0</v>
      </c>
    </row>
    <row s="9112" customFormat="1" customHeight="1" ht="21">
      <c r="A257" s="4183"/>
      <c r="B257" s="4183"/>
      <c r="C257" s="4183"/>
      <c r="D257" s="4183"/>
      <c r="E257" s="4184"/>
      <c r="F257" s="4184" t="s">
        <v>145</v>
      </c>
      <c r="G257" s="4184"/>
      <c r="H257" s="4184"/>
      <c r="I257" s="4186"/>
      <c r="J257" s="4183"/>
      <c r="K257" s="4183"/>
      <c r="L257" s="4187"/>
      <c r="M257" s="4188"/>
      <c r="N257" s="4188"/>
      <c r="O257" s="4188"/>
      <c r="P257" s="4189"/>
      <c r="Q257" s="4189"/>
      <c r="R257" s="4205"/>
      <c r="S257" s="9113"/>
      <c r="T257" s="9114" t="s">
        <v>544</v>
      </c>
      <c r="U257" s="9115"/>
      <c r="V257" s="9116"/>
      <c r="W257" s="9117"/>
      <c r="X257" s="9118"/>
      <c r="Y257" s="9119"/>
      <c r="Z257" s="9120"/>
      <c r="AA257" s="9121"/>
      <c r="AB257" s="9122"/>
      <c r="AC257" s="9123"/>
      <c r="AD257" s="9124"/>
      <c r="AE257" s="9125"/>
      <c r="AF257" s="9126"/>
      <c r="AG257" s="9127"/>
      <c r="AH257" s="9128"/>
      <c r="AI257" s="9129"/>
      <c r="AJ257" s="9130"/>
      <c r="AK257" s="9131"/>
      <c r="AL257" s="9132"/>
      <c r="AM257" s="9133"/>
      <c r="AN257" s="9134"/>
      <c r="AO257" s="9135"/>
      <c r="AP257" s="9136"/>
      <c r="AQ257" s="9137"/>
      <c r="AR257" s="9138"/>
      <c r="AS257" s="9139"/>
      <c r="AT257" s="9140"/>
      <c r="AU257" s="9141"/>
      <c r="AV257" s="9142"/>
      <c r="AW257" s="9143"/>
      <c r="AX257" s="9144"/>
      <c r="AY257" s="9145"/>
      <c r="AZ257" s="9146"/>
      <c r="BA257" s="9147"/>
      <c r="BB257" s="9148"/>
      <c r="BC257" s="9149"/>
      <c r="BD257" s="9150"/>
      <c r="BE257" s="9151"/>
      <c r="BF257" s="9152"/>
      <c r="BG257" s="9153"/>
      <c r="BH257" s="9154"/>
      <c r="BI257" s="9155"/>
      <c r="BJ257" s="9156"/>
      <c r="BK257" s="9157"/>
      <c r="BL257" s="9158"/>
      <c r="BM257" s="9159"/>
      <c r="BN257" s="9160"/>
      <c r="BO257" s="9161"/>
      <c r="BP257" s="9162"/>
      <c r="BQ257" s="9163"/>
      <c r="BR257" s="9164"/>
      <c r="BS257" s="9165"/>
      <c r="BT257" s="9166"/>
      <c r="BU257" s="9167"/>
      <c r="BV257" s="9168"/>
      <c r="BW257" s="9169"/>
      <c r="BX257" s="9170"/>
      <c r="BY257" s="9171"/>
      <c r="BZ257" s="9172"/>
      <c r="CA257" s="9173"/>
      <c r="CB257" s="9174"/>
      <c r="CC257" s="9175"/>
      <c r="CD257" s="9176"/>
      <c r="CE257" s="9177"/>
      <c r="CF257" s="9178"/>
      <c r="CG257" s="9179"/>
      <c r="CH257" s="9180"/>
      <c r="CI257" s="9181"/>
      <c r="CJ257" s="9182"/>
      <c r="CK257" s="9183"/>
      <c r="CL257" s="9184"/>
      <c r="CM257" s="9185"/>
      <c r="CN257" s="9186"/>
      <c r="CO257" s="9187"/>
      <c r="CP257" s="9188"/>
      <c r="CQ257" s="9189"/>
      <c r="CR257" s="9190"/>
      <c r="CS257" s="9191"/>
      <c r="CT257" s="9192"/>
      <c r="CU257" s="9193"/>
      <c r="CV257" s="9194"/>
      <c r="CW257" s="4093"/>
      <c r="CX257" s="4196"/>
      <c r="CY257" s="4196" t="str">
        <f>IF(T257="","",T257)</f>
        <v>Добавить группу потребителей</v>
      </c>
      <c r="CZ257" s="4196"/>
      <c r="DA257" s="4196"/>
      <c r="DB257" s="3858">
        <v>0</v>
      </c>
    </row>
    <row s="9195" customFormat="1" customHeight="1" ht="14.25">
      <c r="A258" s="4183"/>
      <c r="B258" s="4183"/>
      <c r="C258" s="4183"/>
      <c r="D258" s="4183"/>
      <c r="E258" s="4184"/>
      <c r="F258" s="4184" t="s">
        <v>145</v>
      </c>
      <c r="G258" s="4184"/>
      <c r="H258" s="4500"/>
      <c r="I258" s="4183"/>
      <c r="J258" s="4183"/>
      <c r="K258" s="4183"/>
      <c r="L258" s="4187"/>
      <c r="M258" s="4501"/>
      <c r="N258" s="4501"/>
      <c r="O258" s="4083"/>
      <c r="P258" s="4853"/>
      <c r="Q258" s="4854"/>
      <c r="R258" s="4855"/>
      <c r="S258" s="9196"/>
      <c r="T258" s="9197" t="s">
        <v>617</v>
      </c>
      <c r="U258" s="9198"/>
      <c r="V258" s="9199"/>
      <c r="W258" s="9200"/>
      <c r="X258" s="9201"/>
      <c r="Y258" s="9202"/>
      <c r="Z258" s="9203"/>
      <c r="AA258" s="9204"/>
      <c r="AB258" s="9205"/>
      <c r="AC258" s="9206"/>
      <c r="AD258" s="9207"/>
      <c r="AE258" s="9208"/>
      <c r="AF258" s="9209"/>
      <c r="AG258" s="9210"/>
      <c r="AH258" s="9211"/>
      <c r="AI258" s="9212"/>
      <c r="AJ258" s="9213"/>
      <c r="AK258" s="9214"/>
      <c r="AL258" s="9215"/>
      <c r="AM258" s="9216"/>
      <c r="AN258" s="9217"/>
      <c r="AO258" s="9218"/>
      <c r="AP258" s="9219"/>
      <c r="AQ258" s="9220"/>
      <c r="AR258" s="9221"/>
      <c r="AS258" s="9222"/>
      <c r="AT258" s="9223"/>
      <c r="AU258" s="9224"/>
      <c r="AV258" s="9225"/>
      <c r="AW258" s="9226"/>
      <c r="AX258" s="9227"/>
      <c r="AY258" s="9228"/>
      <c r="AZ258" s="9229"/>
      <c r="BA258" s="9230"/>
      <c r="BB258" s="9231"/>
      <c r="BC258" s="9232"/>
      <c r="BD258" s="9233"/>
      <c r="BE258" s="9234"/>
      <c r="BF258" s="9235"/>
      <c r="BG258" s="9236"/>
      <c r="BH258" s="9237"/>
      <c r="BI258" s="9238"/>
      <c r="BJ258" s="9239"/>
      <c r="BK258" s="9240"/>
      <c r="BL258" s="9241"/>
      <c r="BM258" s="9242"/>
      <c r="BN258" s="9243"/>
      <c r="BO258" s="9244"/>
      <c r="BP258" s="9245"/>
      <c r="BQ258" s="9246"/>
      <c r="BR258" s="9247"/>
      <c r="BS258" s="9248"/>
      <c r="BT258" s="9249"/>
      <c r="BU258" s="9250"/>
      <c r="BV258" s="9251"/>
      <c r="BW258" s="9252"/>
      <c r="BX258" s="9253"/>
      <c r="BY258" s="9254"/>
      <c r="BZ258" s="9255"/>
      <c r="CA258" s="9256"/>
      <c r="CB258" s="9257"/>
      <c r="CC258" s="9258"/>
      <c r="CD258" s="9259"/>
      <c r="CE258" s="9260"/>
      <c r="CF258" s="9261"/>
      <c r="CG258" s="9262"/>
      <c r="CH258" s="9263"/>
      <c r="CI258" s="9264"/>
      <c r="CJ258" s="9265"/>
      <c r="CK258" s="9266"/>
      <c r="CL258" s="9267"/>
      <c r="CM258" s="9268"/>
      <c r="CN258" s="9269"/>
      <c r="CO258" s="9270"/>
      <c r="CP258" s="9271"/>
      <c r="CQ258" s="9272"/>
      <c r="CR258" s="9273"/>
      <c r="CS258" s="9274"/>
      <c r="CT258" s="9275"/>
      <c r="CU258" s="9276"/>
      <c r="CV258" s="9277"/>
      <c r="CW258" s="4093"/>
      <c r="CX258" s="4196"/>
      <c r="CY258" s="4196" t="str">
        <f>IF(T258="","",T258)</f>
        <v>Добавить наименование признака дифференциации</v>
      </c>
      <c r="CZ258" s="4196"/>
      <c r="DA258" s="4196"/>
      <c r="DB258" s="3858">
        <v>0</v>
      </c>
    </row>
    <row s="9278" customFormat="1" customHeight="1" ht="14.25">
      <c r="A259" s="4939"/>
      <c r="B259" s="4939"/>
      <c r="C259" s="4939"/>
      <c r="D259" s="4939"/>
      <c r="E259" s="4184"/>
      <c r="F259" s="4500" t="s">
        <v>145</v>
      </c>
      <c r="G259" s="4939"/>
      <c r="H259" s="4939"/>
      <c r="I259" s="4939"/>
      <c r="J259" s="4939"/>
      <c r="K259" s="4939"/>
      <c r="L259" s="4940"/>
      <c r="M259" s="4941"/>
      <c r="N259" s="4941"/>
      <c r="O259" s="4093"/>
      <c r="P259" s="4942"/>
      <c r="Q259" s="4943"/>
      <c r="R259" s="4942"/>
      <c r="S259" s="4944"/>
      <c r="T259" s="4945" t="s">
        <v>302</v>
      </c>
      <c r="U259" s="4081"/>
      <c r="V259" s="4081"/>
      <c r="W259" s="4081"/>
      <c r="X259" s="4081"/>
      <c r="Y259" s="4081"/>
      <c r="Z259" s="4081"/>
      <c r="AA259" s="4081"/>
      <c r="AB259" s="4081"/>
      <c r="AC259" s="4081"/>
      <c r="AD259" s="4081"/>
      <c r="AE259" s="4081"/>
      <c r="AF259" s="4081"/>
      <c r="AG259" s="4081"/>
      <c r="AH259" s="4081"/>
      <c r="AI259" s="4081"/>
      <c r="AJ259" s="4081"/>
      <c r="AK259" s="4081"/>
      <c r="AL259" s="4081"/>
      <c r="AM259" s="4081"/>
      <c r="AN259" s="4081"/>
      <c r="AO259" s="4081"/>
      <c r="AP259" s="4081"/>
      <c r="AQ259" s="4081"/>
      <c r="AR259" s="4081"/>
      <c r="AS259" s="4081"/>
      <c r="AT259" s="4081"/>
      <c r="AU259" s="4081"/>
      <c r="AV259" s="4081"/>
      <c r="AW259" s="4081"/>
      <c r="AX259" s="4081"/>
      <c r="AY259" s="4081"/>
      <c r="AZ259" s="4081"/>
      <c r="BA259" s="4081"/>
      <c r="BB259" s="4081"/>
      <c r="BC259" s="4081"/>
      <c r="BD259" s="4081"/>
      <c r="BE259" s="4081"/>
      <c r="BF259" s="4081"/>
      <c r="BG259" s="4081"/>
      <c r="BH259" s="4081"/>
      <c r="BI259" s="4081"/>
      <c r="BJ259" s="4081"/>
      <c r="BK259" s="4081"/>
      <c r="BL259" s="4081"/>
      <c r="BM259" s="4081"/>
      <c r="BN259" s="4081"/>
      <c r="BO259" s="4081"/>
      <c r="BP259" s="4081"/>
      <c r="BQ259" s="4081"/>
      <c r="BR259" s="4081"/>
      <c r="BS259" s="4081"/>
      <c r="BT259" s="4081"/>
      <c r="BU259" s="4081"/>
      <c r="BV259" s="4081"/>
      <c r="BW259" s="4081"/>
      <c r="BX259" s="4081"/>
      <c r="BY259" s="4081"/>
      <c r="BZ259" s="4081"/>
      <c r="CA259" s="4081"/>
      <c r="CB259" s="4081"/>
      <c r="CC259" s="4081"/>
      <c r="CD259" s="4081"/>
      <c r="CE259" s="4081"/>
      <c r="CF259" s="4081"/>
      <c r="CG259" s="4081"/>
      <c r="CH259" s="4081"/>
      <c r="CI259" s="4081"/>
      <c r="CJ259" s="4081"/>
      <c r="CK259" s="4081"/>
      <c r="CL259" s="4081"/>
      <c r="CM259" s="4081"/>
      <c r="CN259" s="4081"/>
      <c r="CO259" s="4081"/>
      <c r="CP259" s="4081"/>
      <c r="CQ259" s="4081"/>
      <c r="CR259" s="4081"/>
      <c r="CS259" s="4081"/>
      <c r="CT259" s="4081"/>
      <c r="CU259" s="4081"/>
      <c r="CV259" s="4081"/>
      <c r="CW259" s="4093"/>
      <c r="CX259" s="4196"/>
      <c r="CY259" s="4196" t="str">
        <f>IF(T259="","",T259)</f>
        <v>Добавить централизованную систему для дифференциации</v>
      </c>
      <c r="CZ259" s="4196"/>
      <c r="DA259" s="4196"/>
      <c r="DB259" s="4093">
        <v>0</v>
      </c>
    </row>
    <row s="9279" customFormat="1" customHeight="1" ht="23.25">
      <c r="A260" s="4183"/>
      <c r="B260" s="4183" t="s">
        <v>337</v>
      </c>
      <c r="C260" s="4183"/>
      <c r="D260" s="4183"/>
      <c r="E260" s="4184"/>
      <c r="F260" s="4500" t="s">
        <v>155</v>
      </c>
      <c r="G260" s="4183"/>
      <c r="H260" s="4183"/>
      <c r="I260" s="4183"/>
      <c r="J260" s="4183"/>
      <c r="K260" s="4183"/>
      <c r="L260" s="4187"/>
      <c r="M260" s="4501"/>
      <c r="N260" s="4501"/>
      <c r="O260" s="4501"/>
      <c r="P260" s="4502"/>
      <c r="Q260" s="4503"/>
      <c r="R260" s="4504"/>
      <c r="S260" s="4192" t="str">
        <f>INDEX(PT_DIFFERENTIATION_NUM_TER,MATCH(B260,PT_DIFFERENTIATION_TER_ID,0))</f>
        <v>1.12</v>
      </c>
      <c r="T260" s="4505" t="s">
        <v>529</v>
      </c>
      <c r="U260" s="4194"/>
      <c r="V260" s="3860"/>
      <c r="W260" s="3861"/>
      <c r="X260" s="3861"/>
      <c r="Y260" s="3861"/>
      <c r="Z260" s="3861"/>
      <c r="AA260" s="3861"/>
      <c r="AB260" s="3862"/>
      <c r="AC260" s="3860" t="str">
        <f>INDEX(PT_DIFFERENTIATION_TER,MATCH(B260,PT_DIFFERENTIATION_TER_ID,0))</f>
        <v>Территория 12</v>
      </c>
      <c r="AD260" s="3861"/>
      <c r="AE260" s="3861"/>
      <c r="AF260" s="3861"/>
      <c r="AG260" s="3861"/>
      <c r="AH260" s="3861"/>
      <c r="AI260" s="3861"/>
      <c r="AJ260" s="3860"/>
      <c r="AK260" s="3861"/>
      <c r="AL260" s="3861"/>
      <c r="AM260" s="3861"/>
      <c r="AN260" s="3861"/>
      <c r="AO260" s="3861"/>
      <c r="AP260" s="3862"/>
      <c r="AQ260" s="3860"/>
      <c r="AR260" s="3861"/>
      <c r="AS260" s="3861"/>
      <c r="AT260" s="3861"/>
      <c r="AU260" s="3861"/>
      <c r="AV260" s="3861"/>
      <c r="AW260" s="3862"/>
      <c r="AX260" s="3860"/>
      <c r="AY260" s="3861"/>
      <c r="AZ260" s="3861"/>
      <c r="BA260" s="3861"/>
      <c r="BB260" s="3861"/>
      <c r="BC260" s="3861"/>
      <c r="BD260" s="3862"/>
      <c r="BE260" s="3860"/>
      <c r="BF260" s="3861"/>
      <c r="BG260" s="3861"/>
      <c r="BH260" s="3861"/>
      <c r="BI260" s="3861"/>
      <c r="BJ260" s="3861"/>
      <c r="BK260" s="3862"/>
      <c r="BL260" s="3860"/>
      <c r="BM260" s="3861"/>
      <c r="BN260" s="3861"/>
      <c r="BO260" s="3861"/>
      <c r="BP260" s="3861"/>
      <c r="BQ260" s="3861"/>
      <c r="BR260" s="3862"/>
      <c r="BS260" s="3860"/>
      <c r="BT260" s="3861"/>
      <c r="BU260" s="3861"/>
      <c r="BV260" s="3861"/>
      <c r="BW260" s="3861"/>
      <c r="BX260" s="3861"/>
      <c r="BY260" s="3862"/>
      <c r="BZ260" s="3860"/>
      <c r="CA260" s="3861"/>
      <c r="CB260" s="3861"/>
      <c r="CC260" s="3861"/>
      <c r="CD260" s="3861"/>
      <c r="CE260" s="3861"/>
      <c r="CF260" s="3862"/>
      <c r="CG260" s="3860"/>
      <c r="CH260" s="3861"/>
      <c r="CI260" s="3861"/>
      <c r="CJ260" s="3861"/>
      <c r="CK260" s="3861"/>
      <c r="CL260" s="3861"/>
      <c r="CM260" s="3862"/>
      <c r="CN260" s="3860"/>
      <c r="CO260" s="3861"/>
      <c r="CP260" s="3861"/>
      <c r="CQ260" s="3861"/>
      <c r="CR260" s="3861"/>
      <c r="CS260" s="3861"/>
      <c r="CT260" s="3862"/>
      <c r="CU260" s="3862"/>
      <c r="CV260" s="4287" t="s">
        <v>530</v>
      </c>
      <c r="CW260" s="4093"/>
      <c r="CX260" s="4196"/>
      <c r="CY260" s="4196" t="str">
        <f>IF(T260="","",T260)</f>
        <v>Территория действия тарифа</v>
      </c>
      <c r="CZ260" s="4196"/>
      <c r="DA260" s="4196"/>
      <c r="DB260" s="3858">
        <v>0</v>
      </c>
    </row>
    <row s="9280" customFormat="1" customHeight="1" ht="23.25">
      <c r="A261" s="4183"/>
      <c r="B261" s="4183"/>
      <c r="C261" s="4183" t="s">
        <v>338</v>
      </c>
      <c r="D261" s="4183"/>
      <c r="E261" s="4184"/>
      <c r="F261" s="4184" t="s">
        <v>150</v>
      </c>
      <c r="G261" s="4500">
        <v>1</v>
      </c>
      <c r="H261" s="4183"/>
      <c r="I261" s="4183"/>
      <c r="J261" s="4183"/>
      <c r="K261" s="4183"/>
      <c r="L261" s="4187"/>
      <c r="M261" s="4501"/>
      <c r="N261" s="4501"/>
      <c r="O261" s="4501"/>
      <c r="P261" s="4507"/>
      <c r="Q261" s="4503"/>
      <c r="R261" s="4504"/>
      <c r="S261" s="4192" t="str">
        <f>INDEX(PT_DIFFERENTIATION_NUM_CS,MATCH(C261,PT_DIFFERENTIATION_CS_ID,0))</f>
        <v>1.12.1</v>
      </c>
      <c r="T261" s="4508" t="s">
        <v>610</v>
      </c>
      <c r="U261" s="4194"/>
      <c r="V261" s="3860"/>
      <c r="W261" s="3861"/>
      <c r="X261" s="3861"/>
      <c r="Y261" s="3861"/>
      <c r="Z261" s="3861"/>
      <c r="AA261" s="3861"/>
      <c r="AB261" s="3862"/>
      <c r="AC261" s="3860" t="str">
        <f>INDEX(PT_DIFFERENTIATION_CS,MATCH(C261,PT_DIFFERENTIATION_CS_ID,0))</f>
        <v>без дифференциации</v>
      </c>
      <c r="AD261" s="3861"/>
      <c r="AE261" s="3861"/>
      <c r="AF261" s="3861"/>
      <c r="AG261" s="3861"/>
      <c r="AH261" s="3861"/>
      <c r="AI261" s="3861"/>
      <c r="AJ261" s="3860"/>
      <c r="AK261" s="3861"/>
      <c r="AL261" s="3861"/>
      <c r="AM261" s="3861"/>
      <c r="AN261" s="3861"/>
      <c r="AO261" s="3861"/>
      <c r="AP261" s="3862"/>
      <c r="AQ261" s="3860"/>
      <c r="AR261" s="3861"/>
      <c r="AS261" s="3861"/>
      <c r="AT261" s="3861"/>
      <c r="AU261" s="3861"/>
      <c r="AV261" s="3861"/>
      <c r="AW261" s="3862"/>
      <c r="AX261" s="3860"/>
      <c r="AY261" s="3861"/>
      <c r="AZ261" s="3861"/>
      <c r="BA261" s="3861"/>
      <c r="BB261" s="3861"/>
      <c r="BC261" s="3861"/>
      <c r="BD261" s="3862"/>
      <c r="BE261" s="3860"/>
      <c r="BF261" s="3861"/>
      <c r="BG261" s="3861"/>
      <c r="BH261" s="3861"/>
      <c r="BI261" s="3861"/>
      <c r="BJ261" s="3861"/>
      <c r="BK261" s="3862"/>
      <c r="BL261" s="3860"/>
      <c r="BM261" s="3861"/>
      <c r="BN261" s="3861"/>
      <c r="BO261" s="3861"/>
      <c r="BP261" s="3861"/>
      <c r="BQ261" s="3861"/>
      <c r="BR261" s="3862"/>
      <c r="BS261" s="3860"/>
      <c r="BT261" s="3861"/>
      <c r="BU261" s="3861"/>
      <c r="BV261" s="3861"/>
      <c r="BW261" s="3861"/>
      <c r="BX261" s="3861"/>
      <c r="BY261" s="3862"/>
      <c r="BZ261" s="3860"/>
      <c r="CA261" s="3861"/>
      <c r="CB261" s="3861"/>
      <c r="CC261" s="3861"/>
      <c r="CD261" s="3861"/>
      <c r="CE261" s="3861"/>
      <c r="CF261" s="3862"/>
      <c r="CG261" s="3860"/>
      <c r="CH261" s="3861"/>
      <c r="CI261" s="3861"/>
      <c r="CJ261" s="3861"/>
      <c r="CK261" s="3861"/>
      <c r="CL261" s="3861"/>
      <c r="CM261" s="3862"/>
      <c r="CN261" s="3860"/>
      <c r="CO261" s="3861"/>
      <c r="CP261" s="3861"/>
      <c r="CQ261" s="3861"/>
      <c r="CR261" s="3861"/>
      <c r="CS261" s="3861"/>
      <c r="CT261" s="3862"/>
      <c r="CU261" s="3862"/>
      <c r="CV261" s="4287" t="s">
        <v>611</v>
      </c>
      <c r="CW261" s="4093"/>
      <c r="CX261" s="4196"/>
      <c r="CY261" s="4196" t="str">
        <f>IF(T261="","",T261)</f>
        <v>Наименование централизованной системы холодного водоснабжения</v>
      </c>
      <c r="CZ261" s="4196"/>
      <c r="DA261" s="4196"/>
      <c r="DB261" s="3858">
        <v>0</v>
      </c>
    </row>
    <row s="9281" customFormat="1" customHeight="1" ht="23.25">
      <c r="A262" s="4183"/>
      <c r="B262" s="4183"/>
      <c r="C262" s="4183"/>
      <c r="D262" s="4183"/>
      <c r="E262" s="4184"/>
      <c r="F262" s="4184" t="s">
        <v>150</v>
      </c>
      <c r="G262" s="4184"/>
      <c r="H262" s="4184"/>
      <c r="I262" s="4186" t="str">
        <f>S261&amp;".1"</f>
        <v>1.12.1.1</v>
      </c>
      <c r="J262" s="4183"/>
      <c r="K262" s="4183"/>
      <c r="L262" s="4187"/>
      <c r="M262" s="4188"/>
      <c r="N262" s="4188"/>
      <c r="O262" s="4188"/>
      <c r="P262" s="4189">
        <v>1</v>
      </c>
      <c r="Q262" s="4189"/>
      <c r="R262" s="4205"/>
      <c r="S262" s="4192" t="str">
        <f>$I262</f>
        <v>1.12.1.1</v>
      </c>
      <c r="T262" s="4510" t="s">
        <v>612</v>
      </c>
      <c r="U262" s="4194"/>
      <c r="V262" s="3870"/>
      <c r="W262" s="3871"/>
      <c r="X262" s="3871"/>
      <c r="Y262" s="3871"/>
      <c r="Z262" s="3871"/>
      <c r="AA262" s="3871"/>
      <c r="AB262" s="3872"/>
      <c r="AC262" s="4511"/>
      <c r="AD262" s="4512"/>
      <c r="AE262" s="4512"/>
      <c r="AF262" s="4512"/>
      <c r="AG262" s="4512"/>
      <c r="AH262" s="4512"/>
      <c r="AI262" s="4512"/>
      <c r="AJ262" s="3870"/>
      <c r="AK262" s="3871"/>
      <c r="AL262" s="3871"/>
      <c r="AM262" s="3871"/>
      <c r="AN262" s="3871"/>
      <c r="AO262" s="3871"/>
      <c r="AP262" s="3872"/>
      <c r="AQ262" s="3870"/>
      <c r="AR262" s="3871"/>
      <c r="AS262" s="3871"/>
      <c r="AT262" s="3871"/>
      <c r="AU262" s="3871"/>
      <c r="AV262" s="3871"/>
      <c r="AW262" s="3872"/>
      <c r="AX262" s="3870"/>
      <c r="AY262" s="3871"/>
      <c r="AZ262" s="3871"/>
      <c r="BA262" s="3871"/>
      <c r="BB262" s="3871"/>
      <c r="BC262" s="3871"/>
      <c r="BD262" s="3872"/>
      <c r="BE262" s="3870"/>
      <c r="BF262" s="3871"/>
      <c r="BG262" s="3871"/>
      <c r="BH262" s="3871"/>
      <c r="BI262" s="3871"/>
      <c r="BJ262" s="3871"/>
      <c r="BK262" s="3872"/>
      <c r="BL262" s="3870"/>
      <c r="BM262" s="3871"/>
      <c r="BN262" s="3871"/>
      <c r="BO262" s="3871"/>
      <c r="BP262" s="3871"/>
      <c r="BQ262" s="3871"/>
      <c r="BR262" s="3872"/>
      <c r="BS262" s="3870"/>
      <c r="BT262" s="3871"/>
      <c r="BU262" s="3871"/>
      <c r="BV262" s="3871"/>
      <c r="BW262" s="3871"/>
      <c r="BX262" s="3871"/>
      <c r="BY262" s="3872"/>
      <c r="BZ262" s="3870"/>
      <c r="CA262" s="3871"/>
      <c r="CB262" s="3871"/>
      <c r="CC262" s="3871"/>
      <c r="CD262" s="3871"/>
      <c r="CE262" s="3871"/>
      <c r="CF262" s="3872"/>
      <c r="CG262" s="3870"/>
      <c r="CH262" s="3871"/>
      <c r="CI262" s="3871"/>
      <c r="CJ262" s="3871"/>
      <c r="CK262" s="3871"/>
      <c r="CL262" s="3871"/>
      <c r="CM262" s="3872"/>
      <c r="CN262" s="3870"/>
      <c r="CO262" s="3871"/>
      <c r="CP262" s="3871"/>
      <c r="CQ262" s="3871"/>
      <c r="CR262" s="3871"/>
      <c r="CS262" s="3871"/>
      <c r="CT262" s="3872"/>
      <c r="CU262" s="4513"/>
      <c r="CV262" s="4287" t="s">
        <v>613</v>
      </c>
      <c r="CW262" s="4093"/>
      <c r="CX262" s="4196"/>
      <c r="CY262" s="4196" t="str">
        <f>IF(T262="","",T262)</f>
        <v>Наименование признака дифференциации</v>
      </c>
      <c r="CZ262" s="4196"/>
      <c r="DA262" s="4196"/>
      <c r="DB262" s="3858">
        <v>0</v>
      </c>
    </row>
    <row s="9282" customFormat="1" customHeight="1" ht="23.25">
      <c r="A263" s="4183"/>
      <c r="B263" s="4183"/>
      <c r="C263" s="4183"/>
      <c r="D263" s="4183"/>
      <c r="E263" s="4184"/>
      <c r="F263" s="4184" t="s">
        <v>150</v>
      </c>
      <c r="G263" s="4184"/>
      <c r="H263" s="4184"/>
      <c r="I263" s="4185"/>
      <c r="J263" s="4186" t="str">
        <f>I262&amp;".1"</f>
        <v>1.12.1.1.1</v>
      </c>
      <c r="K263" s="4183"/>
      <c r="L263" s="4187" t="s">
        <v>538</v>
      </c>
      <c r="M263" s="4188"/>
      <c r="N263" s="4188"/>
      <c r="O263" s="4188"/>
      <c r="P263" s="4189"/>
      <c r="Q263" s="4189">
        <v>1</v>
      </c>
      <c r="R263" s="4191"/>
      <c r="S263" s="4192" t="str">
        <f>$J263</f>
        <v>1.12.1.1.1</v>
      </c>
      <c r="T263" s="4193" t="s">
        <v>539</v>
      </c>
      <c r="U263" s="4194"/>
      <c r="V263" s="3874"/>
      <c r="W263" s="3875"/>
      <c r="X263" s="3875"/>
      <c r="Y263" s="3875"/>
      <c r="Z263" s="3875"/>
      <c r="AA263" s="3875"/>
      <c r="AB263" s="3876"/>
      <c r="AC263" s="3874" t="s">
        <v>625</v>
      </c>
      <c r="AD263" s="3875"/>
      <c r="AE263" s="3875"/>
      <c r="AF263" s="3875"/>
      <c r="AG263" s="3875"/>
      <c r="AH263" s="3875"/>
      <c r="AI263" s="3875"/>
      <c r="AJ263" s="3874"/>
      <c r="AK263" s="3875"/>
      <c r="AL263" s="3875"/>
      <c r="AM263" s="3875"/>
      <c r="AN263" s="3875"/>
      <c r="AO263" s="3875"/>
      <c r="AP263" s="3876"/>
      <c r="AQ263" s="3874"/>
      <c r="AR263" s="3875"/>
      <c r="AS263" s="3875"/>
      <c r="AT263" s="3875"/>
      <c r="AU263" s="3875"/>
      <c r="AV263" s="3875"/>
      <c r="AW263" s="3876"/>
      <c r="AX263" s="3874"/>
      <c r="AY263" s="3875"/>
      <c r="AZ263" s="3875"/>
      <c r="BA263" s="3875"/>
      <c r="BB263" s="3875"/>
      <c r="BC263" s="3875"/>
      <c r="BD263" s="3876"/>
      <c r="BE263" s="3874"/>
      <c r="BF263" s="3875"/>
      <c r="BG263" s="3875"/>
      <c r="BH263" s="3875"/>
      <c r="BI263" s="3875"/>
      <c r="BJ263" s="3875"/>
      <c r="BK263" s="3876"/>
      <c r="BL263" s="3874"/>
      <c r="BM263" s="3875"/>
      <c r="BN263" s="3875"/>
      <c r="BO263" s="3875"/>
      <c r="BP263" s="3875"/>
      <c r="BQ263" s="3875"/>
      <c r="BR263" s="3876"/>
      <c r="BS263" s="3874"/>
      <c r="BT263" s="3875"/>
      <c r="BU263" s="3875"/>
      <c r="BV263" s="3875"/>
      <c r="BW263" s="3875"/>
      <c r="BX263" s="3875"/>
      <c r="BY263" s="3876"/>
      <c r="BZ263" s="3874"/>
      <c r="CA263" s="3875"/>
      <c r="CB263" s="3875"/>
      <c r="CC263" s="3875"/>
      <c r="CD263" s="3875"/>
      <c r="CE263" s="3875"/>
      <c r="CF263" s="3876"/>
      <c r="CG263" s="3874"/>
      <c r="CH263" s="3875"/>
      <c r="CI263" s="3875"/>
      <c r="CJ263" s="3875"/>
      <c r="CK263" s="3875"/>
      <c r="CL263" s="3875"/>
      <c r="CM263" s="3876"/>
      <c r="CN263" s="3874"/>
      <c r="CO263" s="3875"/>
      <c r="CP263" s="3875"/>
      <c r="CQ263" s="3875"/>
      <c r="CR263" s="3875"/>
      <c r="CS263" s="3875"/>
      <c r="CT263" s="3876"/>
      <c r="CU263" s="3876"/>
      <c r="CV263" s="4195" t="s">
        <v>614</v>
      </c>
      <c r="CW263" s="4093"/>
      <c r="CX263" s="4196"/>
      <c r="CY263" s="4196" t="str">
        <f>IF(T263="","",T263)</f>
        <v>Группа потребителей</v>
      </c>
      <c r="CZ263" s="4196"/>
      <c r="DA263" s="4196"/>
      <c r="DB263" s="3858">
        <v>0</v>
      </c>
    </row>
    <row s="9283" customFormat="1" customHeight="1" ht="23.25">
      <c r="A264" s="4183"/>
      <c r="B264" s="4183"/>
      <c r="C264" s="4183"/>
      <c r="D264" s="4183"/>
      <c r="E264" s="4184"/>
      <c r="F264" s="4184" t="s">
        <v>150</v>
      </c>
      <c r="G264" s="4184"/>
      <c r="H264" s="4184"/>
      <c r="I264" s="4185"/>
      <c r="J264" s="4185"/>
      <c r="K264" s="4186" t="str">
        <f>J263&amp;".1"</f>
        <v>1.12.1.1.1.1</v>
      </c>
      <c r="L264" s="4187"/>
      <c r="M264" s="4188"/>
      <c r="N264" s="4188"/>
      <c r="O264" s="4188"/>
      <c r="P264" s="4189"/>
      <c r="Q264" s="4189"/>
      <c r="R264" s="4191">
        <v>1</v>
      </c>
      <c r="S264" s="4192" t="str">
        <f>$K264</f>
        <v>1.12.1.1.1.1</v>
      </c>
      <c r="T264" s="4198"/>
      <c r="U264" s="4194"/>
      <c r="V264" s="3878"/>
      <c r="W264" s="3878"/>
      <c r="X264" s="3879"/>
      <c r="Y264" s="3880"/>
      <c r="Z264" s="3881" t="s">
        <v>65</v>
      </c>
      <c r="AA264" s="3880"/>
      <c r="AB264" s="3881" t="s">
        <v>65</v>
      </c>
      <c r="AC264" s="3878">
        <v>25.18</v>
      </c>
      <c r="AD264" s="3878"/>
      <c r="AE264" s="3879"/>
      <c r="AF264" s="3880">
        <v>45292</v>
      </c>
      <c r="AG264" s="3881" t="s">
        <v>65</v>
      </c>
      <c r="AH264" s="4116">
        <v>45473</v>
      </c>
      <c r="AI264" s="3881" t="s">
        <v>65</v>
      </c>
      <c r="AJ264" s="3878">
        <v>28.81</v>
      </c>
      <c r="AK264" s="3878"/>
      <c r="AL264" s="3879"/>
      <c r="AM264" s="3880">
        <v>45474</v>
      </c>
      <c r="AN264" s="3881" t="s">
        <v>65</v>
      </c>
      <c r="AO264" s="3880">
        <v>45657</v>
      </c>
      <c r="AP264" s="3881" t="s">
        <v>65</v>
      </c>
      <c r="AQ264" s="3878">
        <v>28.81</v>
      </c>
      <c r="AR264" s="3878"/>
      <c r="AS264" s="3879"/>
      <c r="AT264" s="3880">
        <v>45658</v>
      </c>
      <c r="AU264" s="3881" t="s">
        <v>65</v>
      </c>
      <c r="AV264" s="3880">
        <v>45838</v>
      </c>
      <c r="AW264" s="3881" t="s">
        <v>65</v>
      </c>
      <c r="AX264" s="3878">
        <v>32.84</v>
      </c>
      <c r="AY264" s="3878"/>
      <c r="AZ264" s="3879"/>
      <c r="BA264" s="3880">
        <v>45839</v>
      </c>
      <c r="BB264" s="3881" t="s">
        <v>65</v>
      </c>
      <c r="BC264" s="3880">
        <v>46022</v>
      </c>
      <c r="BD264" s="3881" t="s">
        <v>65</v>
      </c>
      <c r="BE264" s="3878">
        <v>30.42</v>
      </c>
      <c r="BF264" s="3878"/>
      <c r="BG264" s="3879"/>
      <c r="BH264" s="3880">
        <v>46023</v>
      </c>
      <c r="BI264" s="3881" t="s">
        <v>65</v>
      </c>
      <c r="BJ264" s="3880">
        <v>46203</v>
      </c>
      <c r="BK264" s="3881" t="s">
        <v>65</v>
      </c>
      <c r="BL264" s="3878">
        <v>31.64</v>
      </c>
      <c r="BM264" s="3878"/>
      <c r="BN264" s="3879"/>
      <c r="BO264" s="3880">
        <v>46204</v>
      </c>
      <c r="BP264" s="3881" t="s">
        <v>65</v>
      </c>
      <c r="BQ264" s="3880">
        <v>46387</v>
      </c>
      <c r="BR264" s="3881" t="s">
        <v>65</v>
      </c>
      <c r="BS264" s="3878">
        <v>31.64</v>
      </c>
      <c r="BT264" s="3878"/>
      <c r="BU264" s="3879"/>
      <c r="BV264" s="3880">
        <v>46388</v>
      </c>
      <c r="BW264" s="3881" t="s">
        <v>65</v>
      </c>
      <c r="BX264" s="3880">
        <v>46568</v>
      </c>
      <c r="BY264" s="3881" t="s">
        <v>65</v>
      </c>
      <c r="BZ264" s="3878">
        <v>32.91</v>
      </c>
      <c r="CA264" s="3878"/>
      <c r="CB264" s="3879"/>
      <c r="CC264" s="3880">
        <v>46569</v>
      </c>
      <c r="CD264" s="3881" t="s">
        <v>65</v>
      </c>
      <c r="CE264" s="3880">
        <v>46752</v>
      </c>
      <c r="CF264" s="3881" t="s">
        <v>65</v>
      </c>
      <c r="CG264" s="3878">
        <v>32.91</v>
      </c>
      <c r="CH264" s="3878"/>
      <c r="CI264" s="3879"/>
      <c r="CJ264" s="3880">
        <v>46753</v>
      </c>
      <c r="CK264" s="3881" t="s">
        <v>65</v>
      </c>
      <c r="CL264" s="3880">
        <v>46934</v>
      </c>
      <c r="CM264" s="3881" t="s">
        <v>65</v>
      </c>
      <c r="CN264" s="3878">
        <v>34.23</v>
      </c>
      <c r="CO264" s="3878"/>
      <c r="CP264" s="3879"/>
      <c r="CQ264" s="3880">
        <v>46935</v>
      </c>
      <c r="CR264" s="3881" t="s">
        <v>65</v>
      </c>
      <c r="CS264" s="3880">
        <v>47118</v>
      </c>
      <c r="CT264" s="3881" t="s">
        <v>65</v>
      </c>
      <c r="CU264" s="4199"/>
      <c r="CV26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4" s="4093">
        <f>STRCHECKDATE(V265:CU265)</f>
      </c>
      <c r="CX264" s="4196"/>
      <c r="CY264" s="4196" t="str">
        <f>IF(T264="","",T264)</f>
        <v/>
      </c>
      <c r="CZ264" s="4196"/>
      <c r="DA264" s="4196"/>
      <c r="DB264" s="3858">
        <v>0</v>
      </c>
    </row>
    <row s="9284" customFormat="1" customHeight="1" ht="14.25">
      <c r="A265" s="4183"/>
      <c r="B265" s="4183"/>
      <c r="C265" s="4183"/>
      <c r="D265" s="4183"/>
      <c r="E265" s="4184"/>
      <c r="F265" s="4184" t="s">
        <v>150</v>
      </c>
      <c r="G265" s="4184"/>
      <c r="H265" s="4184"/>
      <c r="I265" s="4185"/>
      <c r="J265" s="4185"/>
      <c r="K265" s="4186"/>
      <c r="L265" s="4187"/>
      <c r="M265" s="4188"/>
      <c r="N265" s="4188"/>
      <c r="O265" s="4188"/>
      <c r="P265" s="4189"/>
      <c r="Q265" s="4189"/>
      <c r="R265" s="4191"/>
      <c r="S265" s="4202"/>
      <c r="T265" s="4194"/>
      <c r="U265" s="4194"/>
      <c r="V265" s="3885"/>
      <c r="W265" s="3885"/>
      <c r="X265" s="3886" t="str">
        <f>Y264&amp;"-"&amp;AA264</f>
        <v>-</v>
      </c>
      <c r="Y265" s="3887"/>
      <c r="Z265" s="3881"/>
      <c r="AA265" s="3887"/>
      <c r="AB265" s="3881"/>
      <c r="AC265" s="3885"/>
      <c r="AD265" s="3885"/>
      <c r="AE265" s="3886" t="str">
        <f>AF264&amp;"-"&amp;AH264</f>
        <v>45292-45473</v>
      </c>
      <c r="AF265" s="3887"/>
      <c r="AG265" s="3881"/>
      <c r="AH265" s="4118"/>
      <c r="AI265" s="3881"/>
      <c r="AJ265" s="3885"/>
      <c r="AK265" s="3885"/>
      <c r="AL265" s="3886" t="str">
        <f>AM264&amp;"-"&amp;AO264</f>
        <v>45474-45657</v>
      </c>
      <c r="AM265" s="3887"/>
      <c r="AN265" s="3881"/>
      <c r="AO265" s="3887"/>
      <c r="AP265" s="3881"/>
      <c r="AQ265" s="3885"/>
      <c r="AR265" s="3885"/>
      <c r="AS265" s="3886" t="str">
        <f>AT264&amp;"-"&amp;AV264</f>
        <v>45658-45838</v>
      </c>
      <c r="AT265" s="3887"/>
      <c r="AU265" s="3881"/>
      <c r="AV265" s="3887"/>
      <c r="AW265" s="3881"/>
      <c r="AX265" s="3885"/>
      <c r="AY265" s="3885"/>
      <c r="AZ265" s="3886" t="str">
        <f>BA264&amp;"-"&amp;BC264</f>
        <v>45839-46022</v>
      </c>
      <c r="BA265" s="3887"/>
      <c r="BB265" s="3881"/>
      <c r="BC265" s="3887"/>
      <c r="BD265" s="3881"/>
      <c r="BE265" s="3885"/>
      <c r="BF265" s="3885"/>
      <c r="BG265" s="3886" t="str">
        <f>BH264&amp;"-"&amp;BJ264</f>
        <v>46023-46203</v>
      </c>
      <c r="BH265" s="3887"/>
      <c r="BI265" s="3881"/>
      <c r="BJ265" s="3887"/>
      <c r="BK265" s="3881"/>
      <c r="BL265" s="3885"/>
      <c r="BM265" s="3885"/>
      <c r="BN265" s="3886" t="str">
        <f>BO264&amp;"-"&amp;BQ264</f>
        <v>46204-46387</v>
      </c>
      <c r="BO265" s="3887"/>
      <c r="BP265" s="3881"/>
      <c r="BQ265" s="3887"/>
      <c r="BR265" s="3881"/>
      <c r="BS265" s="3885"/>
      <c r="BT265" s="3885"/>
      <c r="BU265" s="3886" t="str">
        <f>BV264&amp;"-"&amp;BX264</f>
        <v>46388-46568</v>
      </c>
      <c r="BV265" s="3887"/>
      <c r="BW265" s="3881"/>
      <c r="BX265" s="3887"/>
      <c r="BY265" s="3881"/>
      <c r="BZ265" s="3885"/>
      <c r="CA265" s="3885"/>
      <c r="CB265" s="3886" t="str">
        <f>CC264&amp;"-"&amp;CE264</f>
        <v>46569-46752</v>
      </c>
      <c r="CC265" s="3887"/>
      <c r="CD265" s="3881"/>
      <c r="CE265" s="3887"/>
      <c r="CF265" s="3881"/>
      <c r="CG265" s="3885"/>
      <c r="CH265" s="3885"/>
      <c r="CI265" s="3886" t="str">
        <f>CJ264&amp;"-"&amp;CL264</f>
        <v>46753-46934</v>
      </c>
      <c r="CJ265" s="3887"/>
      <c r="CK265" s="3881"/>
      <c r="CL265" s="3887"/>
      <c r="CM265" s="3881"/>
      <c r="CN265" s="3885"/>
      <c r="CO265" s="3885"/>
      <c r="CP265" s="3886" t="str">
        <f>CQ264&amp;"-"&amp;CS264</f>
        <v>46935-47118</v>
      </c>
      <c r="CQ265" s="3887"/>
      <c r="CR265" s="3881"/>
      <c r="CS265" s="3887"/>
      <c r="CT265" s="3881"/>
      <c r="CU265" s="4203"/>
      <c r="CV265" s="4200"/>
      <c r="CW265" s="4093"/>
      <c r="CX265" s="4196"/>
      <c r="CY265" s="4196" t="str">
        <f>IF(T265="","",T265)</f>
        <v/>
      </c>
      <c r="CZ265" s="4196"/>
      <c r="DA265" s="4196"/>
      <c r="DB265" s="3858">
        <v>0</v>
      </c>
    </row>
    <row s="9285" customFormat="1" customHeight="1" ht="21">
      <c r="A266" s="4183"/>
      <c r="B266" s="4183"/>
      <c r="C266" s="4183"/>
      <c r="D266" s="4183"/>
      <c r="E266" s="4184"/>
      <c r="F266" s="4184" t="s">
        <v>150</v>
      </c>
      <c r="G266" s="4184"/>
      <c r="H266" s="4184"/>
      <c r="I266" s="4185"/>
      <c r="J266" s="4186"/>
      <c r="K266" s="4183"/>
      <c r="L266" s="4187"/>
      <c r="M266" s="4188"/>
      <c r="N266" s="4188"/>
      <c r="O266" s="4188"/>
      <c r="P266" s="4189"/>
      <c r="Q266" s="4189"/>
      <c r="R266" s="4205"/>
      <c r="S266" s="9286"/>
      <c r="T266" s="9287" t="s">
        <v>615</v>
      </c>
      <c r="U266" s="9288"/>
      <c r="V266" s="9289"/>
      <c r="W266" s="9290"/>
      <c r="X266" s="9291"/>
      <c r="Y266" s="9292"/>
      <c r="Z266" s="9293"/>
      <c r="AA266" s="9294"/>
      <c r="AB266" s="9295"/>
      <c r="AC266" s="9296"/>
      <c r="AD266" s="9297"/>
      <c r="AE266" s="9298"/>
      <c r="AF266" s="9299"/>
      <c r="AG266" s="9300"/>
      <c r="AH266" s="9301"/>
      <c r="AI266" s="9302"/>
      <c r="AJ266" s="9303"/>
      <c r="AK266" s="9304"/>
      <c r="AL266" s="9305"/>
      <c r="AM266" s="9306"/>
      <c r="AN266" s="9307"/>
      <c r="AO266" s="9308"/>
      <c r="AP266" s="9309"/>
      <c r="AQ266" s="9310"/>
      <c r="AR266" s="9311"/>
      <c r="AS266" s="9312"/>
      <c r="AT266" s="9313"/>
      <c r="AU266" s="9314"/>
      <c r="AV266" s="9315"/>
      <c r="AW266" s="9316"/>
      <c r="AX266" s="9317"/>
      <c r="AY266" s="9318"/>
      <c r="AZ266" s="9319"/>
      <c r="BA266" s="9320"/>
      <c r="BB266" s="9321"/>
      <c r="BC266" s="9322"/>
      <c r="BD266" s="9323"/>
      <c r="BE266" s="9324"/>
      <c r="BF266" s="9325"/>
      <c r="BG266" s="9326"/>
      <c r="BH266" s="9327"/>
      <c r="BI266" s="9328"/>
      <c r="BJ266" s="9329"/>
      <c r="BK266" s="9330"/>
      <c r="BL266" s="9331"/>
      <c r="BM266" s="9332"/>
      <c r="BN266" s="9333"/>
      <c r="BO266" s="9334"/>
      <c r="BP266" s="9335"/>
      <c r="BQ266" s="9336"/>
      <c r="BR266" s="9337"/>
      <c r="BS266" s="9338"/>
      <c r="BT266" s="9339"/>
      <c r="BU266" s="9340"/>
      <c r="BV266" s="9341"/>
      <c r="BW266" s="9342"/>
      <c r="BX266" s="9343"/>
      <c r="BY266" s="9344"/>
      <c r="BZ266" s="9345"/>
      <c r="CA266" s="9346"/>
      <c r="CB266" s="9347"/>
      <c r="CC266" s="9348"/>
      <c r="CD266" s="9349"/>
      <c r="CE266" s="9350"/>
      <c r="CF266" s="9351"/>
      <c r="CG266" s="9352"/>
      <c r="CH266" s="9353"/>
      <c r="CI266" s="9354"/>
      <c r="CJ266" s="9355"/>
      <c r="CK266" s="9356"/>
      <c r="CL266" s="9357"/>
      <c r="CM266" s="9358"/>
      <c r="CN266" s="9359"/>
      <c r="CO266" s="9360"/>
      <c r="CP266" s="9361"/>
      <c r="CQ266" s="9362"/>
      <c r="CR266" s="9363"/>
      <c r="CS266" s="9364"/>
      <c r="CT266" s="9365"/>
      <c r="CU266" s="9366"/>
      <c r="CV266" s="4287" t="s">
        <v>616</v>
      </c>
      <c r="CW266" s="4093"/>
      <c r="CX266" s="4196"/>
      <c r="CY266" s="4196" t="str">
        <f>IF(T266="","",T266)</f>
        <v>Добавить значение признака дифференциации</v>
      </c>
      <c r="CZ266" s="4196"/>
      <c r="DA266" s="4196"/>
      <c r="DB266" s="3858">
        <v>0</v>
      </c>
    </row>
    <row s="9367" customFormat="1" customHeight="1" ht="23.25">
      <c r="A267" s="4183"/>
      <c r="B267" s="4183"/>
      <c r="C267" s="4183"/>
      <c r="D267" s="4183"/>
      <c r="E267" s="4184"/>
      <c r="F267" s="4184"/>
      <c r="G267" s="4184"/>
      <c r="H267" s="4184"/>
      <c r="I267" s="4185"/>
      <c r="J267" s="4186" t="str">
        <f>I262&amp;".2"</f>
        <v>1.12.1.1.2</v>
      </c>
      <c r="K267" s="4183"/>
      <c r="L267" s="4187" t="s">
        <v>538</v>
      </c>
      <c r="M267" s="4188"/>
      <c r="N267" s="4188"/>
      <c r="O267" s="4188"/>
      <c r="P267" s="4189"/>
      <c r="Q267" s="4190" t="s">
        <v>109</v>
      </c>
      <c r="R267" s="4191"/>
      <c r="S267" s="4192" t="str">
        <f>$J267</f>
        <v>1.12.1.1.2</v>
      </c>
      <c r="T267" s="4193" t="s">
        <v>539</v>
      </c>
      <c r="U267" s="4194"/>
      <c r="V267" s="3874"/>
      <c r="W267" s="3875"/>
      <c r="X267" s="3875"/>
      <c r="Y267" s="3875"/>
      <c r="Z267" s="3875"/>
      <c r="AA267" s="3875"/>
      <c r="AB267" s="3876"/>
      <c r="AC267" s="3874" t="s">
        <v>626</v>
      </c>
      <c r="AD267" s="3875"/>
      <c r="AE267" s="3875"/>
      <c r="AF267" s="3875"/>
      <c r="AG267" s="3875"/>
      <c r="AH267" s="3875"/>
      <c r="AI267" s="3875"/>
      <c r="AJ267" s="3874"/>
      <c r="AK267" s="3875"/>
      <c r="AL267" s="3875"/>
      <c r="AM267" s="3875"/>
      <c r="AN267" s="3875"/>
      <c r="AO267" s="3875"/>
      <c r="AP267" s="3876"/>
      <c r="AQ267" s="3874"/>
      <c r="AR267" s="3875"/>
      <c r="AS267" s="3875"/>
      <c r="AT267" s="3875"/>
      <c r="AU267" s="3875"/>
      <c r="AV267" s="3875"/>
      <c r="AW267" s="3876"/>
      <c r="AX267" s="3874"/>
      <c r="AY267" s="3875"/>
      <c r="AZ267" s="3875"/>
      <c r="BA267" s="3875"/>
      <c r="BB267" s="3875"/>
      <c r="BC267" s="3875"/>
      <c r="BD267" s="3876"/>
      <c r="BE267" s="3874"/>
      <c r="BF267" s="3875"/>
      <c r="BG267" s="3875"/>
      <c r="BH267" s="3875"/>
      <c r="BI267" s="3875"/>
      <c r="BJ267" s="3875"/>
      <c r="BK267" s="3876"/>
      <c r="BL267" s="3874"/>
      <c r="BM267" s="3875"/>
      <c r="BN267" s="3875"/>
      <c r="BO267" s="3875"/>
      <c r="BP267" s="3875"/>
      <c r="BQ267" s="3875"/>
      <c r="BR267" s="3876"/>
      <c r="BS267" s="3874"/>
      <c r="BT267" s="3875"/>
      <c r="BU267" s="3875"/>
      <c r="BV267" s="3875"/>
      <c r="BW267" s="3875"/>
      <c r="BX267" s="3875"/>
      <c r="BY267" s="3876"/>
      <c r="BZ267" s="3874"/>
      <c r="CA267" s="3875"/>
      <c r="CB267" s="3875"/>
      <c r="CC267" s="3875"/>
      <c r="CD267" s="3875"/>
      <c r="CE267" s="3875"/>
      <c r="CF267" s="3876"/>
      <c r="CG267" s="3874"/>
      <c r="CH267" s="3875"/>
      <c r="CI267" s="3875"/>
      <c r="CJ267" s="3875"/>
      <c r="CK267" s="3875"/>
      <c r="CL267" s="3875"/>
      <c r="CM267" s="3876"/>
      <c r="CN267" s="3874"/>
      <c r="CO267" s="3875"/>
      <c r="CP267" s="3875"/>
      <c r="CQ267" s="3875"/>
      <c r="CR267" s="3875"/>
      <c r="CS267" s="3875"/>
      <c r="CT267" s="3876"/>
      <c r="CU267" s="3876"/>
      <c r="CV267" s="4195" t="s">
        <v>614</v>
      </c>
      <c r="CW267" s="4093"/>
      <c r="CX267" s="4196"/>
      <c r="CY267" s="4196" t="str">
        <f>IF(T267="","",T267)</f>
        <v>Группа потребителей</v>
      </c>
      <c r="CZ267" s="4196"/>
      <c r="DA267" s="4196"/>
      <c r="DB267" s="3858">
        <v>0</v>
      </c>
    </row>
    <row s="9368" customFormat="1" customHeight="1" ht="23.25">
      <c r="A268" s="4183"/>
      <c r="B268" s="4183"/>
      <c r="C268" s="4183"/>
      <c r="D268" s="4183"/>
      <c r="E268" s="4184"/>
      <c r="F268" s="4184"/>
      <c r="G268" s="4184"/>
      <c r="H268" s="4184"/>
      <c r="I268" s="4185"/>
      <c r="J268" s="4185" t="str">
        <f>I262&amp;".1"</f>
        <v>1.12.1.1.1</v>
      </c>
      <c r="K268" s="4186" t="str">
        <f>J267&amp;".1"</f>
        <v>1.12.1.1.2.1</v>
      </c>
      <c r="L268" s="4187"/>
      <c r="M268" s="4188"/>
      <c r="N268" s="4188"/>
      <c r="O268" s="4188"/>
      <c r="P268" s="4189"/>
      <c r="Q268" s="4189"/>
      <c r="R268" s="4191">
        <v>1</v>
      </c>
      <c r="S268" s="4192" t="str">
        <f>$K268</f>
        <v>1.12.1.1.2.1</v>
      </c>
      <c r="T268" s="4198"/>
      <c r="U268" s="4194"/>
      <c r="V268" s="3878"/>
      <c r="W268" s="3878"/>
      <c r="X268" s="3879"/>
      <c r="Y268" s="3880"/>
      <c r="Z268" s="3881" t="s">
        <v>65</v>
      </c>
      <c r="AA268" s="3880"/>
      <c r="AB268" s="3881" t="s">
        <v>65</v>
      </c>
      <c r="AC268" s="3878">
        <v>32.19</v>
      </c>
      <c r="AD268" s="3878"/>
      <c r="AE268" s="3879"/>
      <c r="AF268" s="3880">
        <v>45292</v>
      </c>
      <c r="AG268" s="3881" t="s">
        <v>65</v>
      </c>
      <c r="AH268" s="4116">
        <v>45473</v>
      </c>
      <c r="AI268" s="3881" t="s">
        <v>65</v>
      </c>
      <c r="AJ268" s="3878">
        <v>45.28</v>
      </c>
      <c r="AK268" s="3878"/>
      <c r="AL268" s="3879"/>
      <c r="AM268" s="3880">
        <v>45474</v>
      </c>
      <c r="AN268" s="3881" t="s">
        <v>65</v>
      </c>
      <c r="AO268" s="3880">
        <v>45657</v>
      </c>
      <c r="AP268" s="3881" t="s">
        <v>65</v>
      </c>
      <c r="AQ268" s="3878">
        <v>45.28</v>
      </c>
      <c r="AR268" s="3878"/>
      <c r="AS268" s="3879"/>
      <c r="AT268" s="3880">
        <v>45658</v>
      </c>
      <c r="AU268" s="3881" t="s">
        <v>65</v>
      </c>
      <c r="AV268" s="3880">
        <v>45838</v>
      </c>
      <c r="AW268" s="3881" t="s">
        <v>65</v>
      </c>
      <c r="AX268" s="3878">
        <v>47.23</v>
      </c>
      <c r="AY268" s="3878"/>
      <c r="AZ268" s="3879"/>
      <c r="BA268" s="3880">
        <v>45839</v>
      </c>
      <c r="BB268" s="3881" t="s">
        <v>65</v>
      </c>
      <c r="BC268" s="3880">
        <v>46022</v>
      </c>
      <c r="BD268" s="3881" t="s">
        <v>65</v>
      </c>
      <c r="BE268" s="3878">
        <v>39.66</v>
      </c>
      <c r="BF268" s="3878"/>
      <c r="BG268" s="3879"/>
      <c r="BH268" s="3880">
        <v>46023</v>
      </c>
      <c r="BI268" s="3881" t="s">
        <v>65</v>
      </c>
      <c r="BJ268" s="3880">
        <v>46203</v>
      </c>
      <c r="BK268" s="3881" t="s">
        <v>65</v>
      </c>
      <c r="BL268" s="3878">
        <v>46</v>
      </c>
      <c r="BM268" s="3878"/>
      <c r="BN268" s="3879"/>
      <c r="BO268" s="3880">
        <v>46204</v>
      </c>
      <c r="BP268" s="3881" t="s">
        <v>65</v>
      </c>
      <c r="BQ268" s="3880">
        <v>46387</v>
      </c>
      <c r="BR268" s="3881" t="s">
        <v>65</v>
      </c>
      <c r="BS268" s="3878">
        <v>46</v>
      </c>
      <c r="BT268" s="3878"/>
      <c r="BU268" s="3879"/>
      <c r="BV268" s="3880">
        <v>46388</v>
      </c>
      <c r="BW268" s="3881" t="s">
        <v>65</v>
      </c>
      <c r="BX268" s="3880">
        <v>46568</v>
      </c>
      <c r="BY268" s="3881" t="s">
        <v>65</v>
      </c>
      <c r="BZ268" s="3878">
        <v>50.94</v>
      </c>
      <c r="CA268" s="3878"/>
      <c r="CB268" s="3879"/>
      <c r="CC268" s="3880">
        <v>46569</v>
      </c>
      <c r="CD268" s="3881" t="s">
        <v>65</v>
      </c>
      <c r="CE268" s="3880">
        <v>46752</v>
      </c>
      <c r="CF268" s="3881" t="s">
        <v>65</v>
      </c>
      <c r="CG268" s="3878">
        <v>50.94</v>
      </c>
      <c r="CH268" s="3878"/>
      <c r="CI268" s="3879"/>
      <c r="CJ268" s="3880">
        <v>46753</v>
      </c>
      <c r="CK268" s="3881" t="s">
        <v>65</v>
      </c>
      <c r="CL268" s="3880">
        <v>46934</v>
      </c>
      <c r="CM268" s="3881" t="s">
        <v>65</v>
      </c>
      <c r="CN268" s="3878">
        <v>60.03</v>
      </c>
      <c r="CO268" s="3878"/>
      <c r="CP268" s="3879"/>
      <c r="CQ268" s="3880">
        <v>46935</v>
      </c>
      <c r="CR268" s="3881" t="s">
        <v>65</v>
      </c>
      <c r="CS268" s="3880">
        <v>47118</v>
      </c>
      <c r="CT268" s="3881" t="s">
        <v>65</v>
      </c>
      <c r="CU268" s="4199"/>
      <c r="CV26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68" s="4093">
        <f>STRCHECKDATE(V269:CU269)</f>
      </c>
      <c r="CX268" s="4196"/>
      <c r="CY268" s="4196" t="str">
        <f>IF(T268="","",T268)</f>
        <v/>
      </c>
      <c r="CZ268" s="4196"/>
      <c r="DA268" s="4196"/>
      <c r="DB268" s="3858">
        <v>0</v>
      </c>
    </row>
    <row s="9369" customFormat="1" customHeight="1" ht="14.25">
      <c r="A269" s="4183"/>
      <c r="B269" s="4183"/>
      <c r="C269" s="4183"/>
      <c r="D269" s="4183"/>
      <c r="E269" s="4184"/>
      <c r="F269" s="4184"/>
      <c r="G269" s="4184"/>
      <c r="H269" s="4184"/>
      <c r="I269" s="4185"/>
      <c r="J269" s="4185" t="str">
        <f>I262&amp;".1"</f>
        <v>1.12.1.1.1</v>
      </c>
      <c r="K269" s="4186"/>
      <c r="L269" s="4187"/>
      <c r="M269" s="4188"/>
      <c r="N269" s="4188"/>
      <c r="O269" s="4188"/>
      <c r="P269" s="4189"/>
      <c r="Q269" s="4189"/>
      <c r="R269" s="4191"/>
      <c r="S269" s="4202"/>
      <c r="T269" s="4194"/>
      <c r="U269" s="4194"/>
      <c r="V269" s="3885"/>
      <c r="W269" s="3885"/>
      <c r="X269" s="3886" t="str">
        <f>Y268&amp;"-"&amp;AA268</f>
        <v>-</v>
      </c>
      <c r="Y269" s="3887"/>
      <c r="Z269" s="3881"/>
      <c r="AA269" s="3887"/>
      <c r="AB269" s="3881"/>
      <c r="AC269" s="3885"/>
      <c r="AD269" s="3885"/>
      <c r="AE269" s="3886" t="str">
        <f>AF268&amp;"-"&amp;AH268</f>
        <v>45292-45473</v>
      </c>
      <c r="AF269" s="3887"/>
      <c r="AG269" s="3881"/>
      <c r="AH269" s="4118"/>
      <c r="AI269" s="3881"/>
      <c r="AJ269" s="3885"/>
      <c r="AK269" s="3885"/>
      <c r="AL269" s="3886" t="str">
        <f>AM268&amp;"-"&amp;AO268</f>
        <v>45474-45657</v>
      </c>
      <c r="AM269" s="3887"/>
      <c r="AN269" s="3881"/>
      <c r="AO269" s="3887"/>
      <c r="AP269" s="3881"/>
      <c r="AQ269" s="3885"/>
      <c r="AR269" s="3885"/>
      <c r="AS269" s="3886" t="str">
        <f>AT268&amp;"-"&amp;AV268</f>
        <v>45658-45838</v>
      </c>
      <c r="AT269" s="3887"/>
      <c r="AU269" s="3881"/>
      <c r="AV269" s="3887"/>
      <c r="AW269" s="3881"/>
      <c r="AX269" s="3885"/>
      <c r="AY269" s="3885"/>
      <c r="AZ269" s="3886" t="str">
        <f>BA268&amp;"-"&amp;BC268</f>
        <v>45839-46022</v>
      </c>
      <c r="BA269" s="3887"/>
      <c r="BB269" s="3881"/>
      <c r="BC269" s="3887"/>
      <c r="BD269" s="3881"/>
      <c r="BE269" s="3885"/>
      <c r="BF269" s="3885"/>
      <c r="BG269" s="3886" t="str">
        <f>BH268&amp;"-"&amp;BJ268</f>
        <v>46023-46203</v>
      </c>
      <c r="BH269" s="3887"/>
      <c r="BI269" s="3881"/>
      <c r="BJ269" s="3887"/>
      <c r="BK269" s="3881"/>
      <c r="BL269" s="3885"/>
      <c r="BM269" s="3885"/>
      <c r="BN269" s="3886" t="str">
        <f>BO268&amp;"-"&amp;BQ268</f>
        <v>46204-46387</v>
      </c>
      <c r="BO269" s="3887"/>
      <c r="BP269" s="3881"/>
      <c r="BQ269" s="3887"/>
      <c r="BR269" s="3881"/>
      <c r="BS269" s="3885"/>
      <c r="BT269" s="3885"/>
      <c r="BU269" s="3886" t="str">
        <f>BV268&amp;"-"&amp;BX268</f>
        <v>46388-46568</v>
      </c>
      <c r="BV269" s="3887"/>
      <c r="BW269" s="3881"/>
      <c r="BX269" s="3887"/>
      <c r="BY269" s="3881"/>
      <c r="BZ269" s="3885"/>
      <c r="CA269" s="3885"/>
      <c r="CB269" s="3886" t="str">
        <f>CC268&amp;"-"&amp;CE268</f>
        <v>46569-46752</v>
      </c>
      <c r="CC269" s="3887"/>
      <c r="CD269" s="3881"/>
      <c r="CE269" s="3887"/>
      <c r="CF269" s="3881"/>
      <c r="CG269" s="3885"/>
      <c r="CH269" s="3885"/>
      <c r="CI269" s="3886" t="str">
        <f>CJ268&amp;"-"&amp;CL268</f>
        <v>46753-46934</v>
      </c>
      <c r="CJ269" s="3887"/>
      <c r="CK269" s="3881"/>
      <c r="CL269" s="3887"/>
      <c r="CM269" s="3881"/>
      <c r="CN269" s="3885"/>
      <c r="CO269" s="3885"/>
      <c r="CP269" s="3886" t="str">
        <f>CQ268&amp;"-"&amp;CS268</f>
        <v>46935-47118</v>
      </c>
      <c r="CQ269" s="3887"/>
      <c r="CR269" s="3881"/>
      <c r="CS269" s="3887"/>
      <c r="CT269" s="3881"/>
      <c r="CU269" s="4203"/>
      <c r="CV269" s="4200"/>
      <c r="CW269" s="4093"/>
      <c r="CX269" s="4196"/>
      <c r="CY269" s="4196" t="str">
        <f>IF(T269="","",T269)</f>
        <v/>
      </c>
      <c r="CZ269" s="4196"/>
      <c r="DA269" s="4196"/>
      <c r="DB269" s="3858">
        <v>0</v>
      </c>
    </row>
    <row s="9370" customFormat="1" customHeight="1" ht="21">
      <c r="A270" s="4183"/>
      <c r="B270" s="4183"/>
      <c r="C270" s="4183"/>
      <c r="D270" s="4183"/>
      <c r="E270" s="4184"/>
      <c r="F270" s="4184"/>
      <c r="G270" s="4184"/>
      <c r="H270" s="4184"/>
      <c r="I270" s="4185"/>
      <c r="J270" s="4186" t="str">
        <f>I262&amp;".1"</f>
        <v>1.12.1.1.1</v>
      </c>
      <c r="K270" s="4183"/>
      <c r="L270" s="4187"/>
      <c r="M270" s="4188"/>
      <c r="N270" s="4188"/>
      <c r="O270" s="4188"/>
      <c r="P270" s="4189"/>
      <c r="Q270" s="4189"/>
      <c r="R270" s="4205"/>
      <c r="S270" s="9371"/>
      <c r="T270" s="9372" t="s">
        <v>615</v>
      </c>
      <c r="U270" s="9373"/>
      <c r="V270" s="9374"/>
      <c r="W270" s="9375"/>
      <c r="X270" s="9376"/>
      <c r="Y270" s="9377"/>
      <c r="Z270" s="9378"/>
      <c r="AA270" s="9379"/>
      <c r="AB270" s="9380"/>
      <c r="AC270" s="9381"/>
      <c r="AD270" s="9382"/>
      <c r="AE270" s="9383"/>
      <c r="AF270" s="9384"/>
      <c r="AG270" s="9385"/>
      <c r="AH270" s="9386"/>
      <c r="AI270" s="9387"/>
      <c r="AJ270" s="9388"/>
      <c r="AK270" s="9389"/>
      <c r="AL270" s="9390"/>
      <c r="AM270" s="9391"/>
      <c r="AN270" s="9392"/>
      <c r="AO270" s="9393"/>
      <c r="AP270" s="9394"/>
      <c r="AQ270" s="9395"/>
      <c r="AR270" s="9396"/>
      <c r="AS270" s="9397"/>
      <c r="AT270" s="9398"/>
      <c r="AU270" s="9399"/>
      <c r="AV270" s="9400"/>
      <c r="AW270" s="9401"/>
      <c r="AX270" s="9402"/>
      <c r="AY270" s="9403"/>
      <c r="AZ270" s="9404"/>
      <c r="BA270" s="9405"/>
      <c r="BB270" s="9406"/>
      <c r="BC270" s="9407"/>
      <c r="BD270" s="9408"/>
      <c r="BE270" s="9409"/>
      <c r="BF270" s="9410"/>
      <c r="BG270" s="9411"/>
      <c r="BH270" s="9412"/>
      <c r="BI270" s="9413"/>
      <c r="BJ270" s="9414"/>
      <c r="BK270" s="9415"/>
      <c r="BL270" s="9416"/>
      <c r="BM270" s="9417"/>
      <c r="BN270" s="9418"/>
      <c r="BO270" s="9419"/>
      <c r="BP270" s="9420"/>
      <c r="BQ270" s="9421"/>
      <c r="BR270" s="9422"/>
      <c r="BS270" s="9423"/>
      <c r="BT270" s="9424"/>
      <c r="BU270" s="9425"/>
      <c r="BV270" s="9426"/>
      <c r="BW270" s="9427"/>
      <c r="BX270" s="9428"/>
      <c r="BY270" s="9429"/>
      <c r="BZ270" s="9430"/>
      <c r="CA270" s="9431"/>
      <c r="CB270" s="9432"/>
      <c r="CC270" s="9433"/>
      <c r="CD270" s="9434"/>
      <c r="CE270" s="9435"/>
      <c r="CF270" s="9436"/>
      <c r="CG270" s="9437"/>
      <c r="CH270" s="9438"/>
      <c r="CI270" s="9439"/>
      <c r="CJ270" s="9440"/>
      <c r="CK270" s="9441"/>
      <c r="CL270" s="9442"/>
      <c r="CM270" s="9443"/>
      <c r="CN270" s="9444"/>
      <c r="CO270" s="9445"/>
      <c r="CP270" s="9446"/>
      <c r="CQ270" s="9447"/>
      <c r="CR270" s="9448"/>
      <c r="CS270" s="9449"/>
      <c r="CT270" s="9450"/>
      <c r="CU270" s="9451"/>
      <c r="CV270" s="4287" t="s">
        <v>616</v>
      </c>
      <c r="CW270" s="4093"/>
      <c r="CX270" s="4196"/>
      <c r="CY270" s="4196" t="str">
        <f>IF(T270="","",T270)</f>
        <v>Добавить значение признака дифференциации</v>
      </c>
      <c r="CZ270" s="4196"/>
      <c r="DA270" s="4196"/>
      <c r="DB270" s="3858">
        <v>0</v>
      </c>
    </row>
    <row s="9452" customFormat="1" customHeight="1" ht="23.25">
      <c r="A271" s="4183"/>
      <c r="B271" s="4183"/>
      <c r="C271" s="4183"/>
      <c r="D271" s="4183"/>
      <c r="E271" s="4184"/>
      <c r="F271" s="4184"/>
      <c r="G271" s="4184"/>
      <c r="H271" s="4184"/>
      <c r="I271" s="4185"/>
      <c r="J271" s="4186" t="str">
        <f>I262&amp;".3"</f>
        <v>1.12.1.1.3</v>
      </c>
      <c r="K271" s="4183"/>
      <c r="L271" s="4187" t="s">
        <v>538</v>
      </c>
      <c r="M271" s="4188"/>
      <c r="N271" s="4188"/>
      <c r="O271" s="4188"/>
      <c r="P271" s="4189"/>
      <c r="Q271" s="4190" t="s">
        <v>109</v>
      </c>
      <c r="R271" s="4191"/>
      <c r="S271" s="4192" t="str">
        <f>$J271</f>
        <v>1.12.1.1.3</v>
      </c>
      <c r="T271" s="4193" t="s">
        <v>539</v>
      </c>
      <c r="U271" s="4194"/>
      <c r="V271" s="3874"/>
      <c r="W271" s="3875"/>
      <c r="X271" s="3875"/>
      <c r="Y271" s="3875"/>
      <c r="Z271" s="3875"/>
      <c r="AA271" s="3875"/>
      <c r="AB271" s="3876"/>
      <c r="AC271" s="3874" t="s">
        <v>627</v>
      </c>
      <c r="AD271" s="3875"/>
      <c r="AE271" s="3875"/>
      <c r="AF271" s="3875"/>
      <c r="AG271" s="3875"/>
      <c r="AH271" s="3875"/>
      <c r="AI271" s="3875"/>
      <c r="AJ271" s="3874"/>
      <c r="AK271" s="3875"/>
      <c r="AL271" s="3875"/>
      <c r="AM271" s="3875"/>
      <c r="AN271" s="3875"/>
      <c r="AO271" s="3875"/>
      <c r="AP271" s="3876"/>
      <c r="AQ271" s="3874"/>
      <c r="AR271" s="3875"/>
      <c r="AS271" s="3875"/>
      <c r="AT271" s="3875"/>
      <c r="AU271" s="3875"/>
      <c r="AV271" s="3875"/>
      <c r="AW271" s="3876"/>
      <c r="AX271" s="3874"/>
      <c r="AY271" s="3875"/>
      <c r="AZ271" s="3875"/>
      <c r="BA271" s="3875"/>
      <c r="BB271" s="3875"/>
      <c r="BC271" s="3875"/>
      <c r="BD271" s="3876"/>
      <c r="BE271" s="3874"/>
      <c r="BF271" s="3875"/>
      <c r="BG271" s="3875"/>
      <c r="BH271" s="3875"/>
      <c r="BI271" s="3875"/>
      <c r="BJ271" s="3875"/>
      <c r="BK271" s="3876"/>
      <c r="BL271" s="3874"/>
      <c r="BM271" s="3875"/>
      <c r="BN271" s="3875"/>
      <c r="BO271" s="3875"/>
      <c r="BP271" s="3875"/>
      <c r="BQ271" s="3875"/>
      <c r="BR271" s="3876"/>
      <c r="BS271" s="3874"/>
      <c r="BT271" s="3875"/>
      <c r="BU271" s="3875"/>
      <c r="BV271" s="3875"/>
      <c r="BW271" s="3875"/>
      <c r="BX271" s="3875"/>
      <c r="BY271" s="3876"/>
      <c r="BZ271" s="3874"/>
      <c r="CA271" s="3875"/>
      <c r="CB271" s="3875"/>
      <c r="CC271" s="3875"/>
      <c r="CD271" s="3875"/>
      <c r="CE271" s="3875"/>
      <c r="CF271" s="3876"/>
      <c r="CG271" s="3874"/>
      <c r="CH271" s="3875"/>
      <c r="CI271" s="3875"/>
      <c r="CJ271" s="3875"/>
      <c r="CK271" s="3875"/>
      <c r="CL271" s="3875"/>
      <c r="CM271" s="3876"/>
      <c r="CN271" s="3874"/>
      <c r="CO271" s="3875"/>
      <c r="CP271" s="3875"/>
      <c r="CQ271" s="3875"/>
      <c r="CR271" s="3875"/>
      <c r="CS271" s="3875"/>
      <c r="CT271" s="3876"/>
      <c r="CU271" s="3876"/>
      <c r="CV271" s="4195" t="s">
        <v>614</v>
      </c>
      <c r="CW271" s="4093"/>
      <c r="CX271" s="4196"/>
      <c r="CY271" s="4196" t="str">
        <f>IF(T271="","",T271)</f>
        <v>Группа потребителей</v>
      </c>
      <c r="CZ271" s="4196"/>
      <c r="DA271" s="4196"/>
      <c r="DB271" s="3858">
        <v>0</v>
      </c>
    </row>
    <row s="9453" customFormat="1" customHeight="1" ht="23.25">
      <c r="A272" s="4183"/>
      <c r="B272" s="4183"/>
      <c r="C272" s="4183"/>
      <c r="D272" s="4183"/>
      <c r="E272" s="4184"/>
      <c r="F272" s="4184"/>
      <c r="G272" s="4184"/>
      <c r="H272" s="4184"/>
      <c r="I272" s="4185"/>
      <c r="J272" s="4185" t="str">
        <f>I262&amp;".2"</f>
        <v>1.12.1.1.2</v>
      </c>
      <c r="K272" s="4186" t="str">
        <f>J271&amp;".1"</f>
        <v>1.12.1.1.3.1</v>
      </c>
      <c r="L272" s="4187"/>
      <c r="M272" s="4188"/>
      <c r="N272" s="4188"/>
      <c r="O272" s="4188"/>
      <c r="P272" s="4189"/>
      <c r="Q272" s="4189"/>
      <c r="R272" s="4191">
        <v>1</v>
      </c>
      <c r="S272" s="4192" t="str">
        <f>$K272</f>
        <v>1.12.1.1.3.1</v>
      </c>
      <c r="T272" s="4198"/>
      <c r="U272" s="4194"/>
      <c r="V272" s="3878"/>
      <c r="W272" s="3878"/>
      <c r="X272" s="3879"/>
      <c r="Y272" s="3880"/>
      <c r="Z272" s="3881" t="s">
        <v>65</v>
      </c>
      <c r="AA272" s="3880"/>
      <c r="AB272" s="3881" t="s">
        <v>65</v>
      </c>
      <c r="AC272" s="3878">
        <v>32.19</v>
      </c>
      <c r="AD272" s="3878"/>
      <c r="AE272" s="3879"/>
      <c r="AF272" s="3880">
        <v>45292</v>
      </c>
      <c r="AG272" s="3881" t="s">
        <v>65</v>
      </c>
      <c r="AH272" s="4116">
        <v>45473</v>
      </c>
      <c r="AI272" s="3881" t="s">
        <v>65</v>
      </c>
      <c r="AJ272" s="3878">
        <v>45.28</v>
      </c>
      <c r="AK272" s="3878"/>
      <c r="AL272" s="3879"/>
      <c r="AM272" s="3880">
        <v>45474</v>
      </c>
      <c r="AN272" s="3881" t="s">
        <v>65</v>
      </c>
      <c r="AO272" s="3880">
        <v>45657</v>
      </c>
      <c r="AP272" s="3881" t="s">
        <v>65</v>
      </c>
      <c r="AQ272" s="3878">
        <v>45.28</v>
      </c>
      <c r="AR272" s="3878"/>
      <c r="AS272" s="3879"/>
      <c r="AT272" s="3880">
        <v>45658</v>
      </c>
      <c r="AU272" s="3881" t="s">
        <v>65</v>
      </c>
      <c r="AV272" s="3880">
        <v>45838</v>
      </c>
      <c r="AW272" s="3881" t="s">
        <v>65</v>
      </c>
      <c r="AX272" s="3878">
        <v>47.23</v>
      </c>
      <c r="AY272" s="3878"/>
      <c r="AZ272" s="3879"/>
      <c r="BA272" s="3880">
        <v>45839</v>
      </c>
      <c r="BB272" s="3881" t="s">
        <v>65</v>
      </c>
      <c r="BC272" s="3880">
        <v>46022</v>
      </c>
      <c r="BD272" s="3881" t="s">
        <v>65</v>
      </c>
      <c r="BE272" s="3878">
        <v>39.66</v>
      </c>
      <c r="BF272" s="3878"/>
      <c r="BG272" s="3879"/>
      <c r="BH272" s="3880">
        <v>46023</v>
      </c>
      <c r="BI272" s="3881" t="s">
        <v>65</v>
      </c>
      <c r="BJ272" s="3880">
        <v>46203</v>
      </c>
      <c r="BK272" s="3881" t="s">
        <v>65</v>
      </c>
      <c r="BL272" s="3878">
        <v>46</v>
      </c>
      <c r="BM272" s="3878"/>
      <c r="BN272" s="3879"/>
      <c r="BO272" s="3880">
        <v>46204</v>
      </c>
      <c r="BP272" s="3881" t="s">
        <v>65</v>
      </c>
      <c r="BQ272" s="3880">
        <v>46387</v>
      </c>
      <c r="BR272" s="3881" t="s">
        <v>65</v>
      </c>
      <c r="BS272" s="3878">
        <v>46</v>
      </c>
      <c r="BT272" s="3878"/>
      <c r="BU272" s="3879"/>
      <c r="BV272" s="3880">
        <v>46388</v>
      </c>
      <c r="BW272" s="3881" t="s">
        <v>65</v>
      </c>
      <c r="BX272" s="3880">
        <v>46568</v>
      </c>
      <c r="BY272" s="3881" t="s">
        <v>65</v>
      </c>
      <c r="BZ272" s="3878">
        <v>50.94</v>
      </c>
      <c r="CA272" s="3878"/>
      <c r="CB272" s="3879"/>
      <c r="CC272" s="3880">
        <v>46569</v>
      </c>
      <c r="CD272" s="3881" t="s">
        <v>65</v>
      </c>
      <c r="CE272" s="3880">
        <v>46752</v>
      </c>
      <c r="CF272" s="3881" t="s">
        <v>65</v>
      </c>
      <c r="CG272" s="3878">
        <v>50.94</v>
      </c>
      <c r="CH272" s="3878"/>
      <c r="CI272" s="3879"/>
      <c r="CJ272" s="3880">
        <v>46753</v>
      </c>
      <c r="CK272" s="3881" t="s">
        <v>65</v>
      </c>
      <c r="CL272" s="3880">
        <v>46934</v>
      </c>
      <c r="CM272" s="3881" t="s">
        <v>65</v>
      </c>
      <c r="CN272" s="3878">
        <v>60.03</v>
      </c>
      <c r="CO272" s="3878"/>
      <c r="CP272" s="3879"/>
      <c r="CQ272" s="3880">
        <v>46935</v>
      </c>
      <c r="CR272" s="3881" t="s">
        <v>65</v>
      </c>
      <c r="CS272" s="3880">
        <v>47118</v>
      </c>
      <c r="CT272" s="3881" t="s">
        <v>65</v>
      </c>
      <c r="CU272" s="4199"/>
      <c r="CV27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72" s="4093">
        <f>STRCHECKDATE(V273:CU273)</f>
      </c>
      <c r="CX272" s="4196"/>
      <c r="CY272" s="4196" t="str">
        <f>IF(T272="","",T272)</f>
        <v/>
      </c>
      <c r="CZ272" s="4196"/>
      <c r="DA272" s="4196"/>
      <c r="DB272" s="3858">
        <v>0</v>
      </c>
    </row>
    <row s="9454" customFormat="1" customHeight="1" ht="14.25">
      <c r="A273" s="4183"/>
      <c r="B273" s="4183"/>
      <c r="C273" s="4183"/>
      <c r="D273" s="4183"/>
      <c r="E273" s="4184"/>
      <c r="F273" s="4184"/>
      <c r="G273" s="4184"/>
      <c r="H273" s="4184"/>
      <c r="I273" s="4185"/>
      <c r="J273" s="4185" t="str">
        <f>I262&amp;".2"</f>
        <v>1.12.1.1.2</v>
      </c>
      <c r="K273" s="4186"/>
      <c r="L273" s="4187"/>
      <c r="M273" s="4188"/>
      <c r="N273" s="4188"/>
      <c r="O273" s="4188"/>
      <c r="P273" s="4189"/>
      <c r="Q273" s="4189"/>
      <c r="R273" s="4191"/>
      <c r="S273" s="4202"/>
      <c r="T273" s="4194"/>
      <c r="U273" s="4194"/>
      <c r="V273" s="3885"/>
      <c r="W273" s="3885"/>
      <c r="X273" s="3886" t="str">
        <f>Y272&amp;"-"&amp;AA272</f>
        <v>-</v>
      </c>
      <c r="Y273" s="3887"/>
      <c r="Z273" s="3881"/>
      <c r="AA273" s="3887"/>
      <c r="AB273" s="3881"/>
      <c r="AC273" s="3885"/>
      <c r="AD273" s="3885"/>
      <c r="AE273" s="3886" t="str">
        <f>AF272&amp;"-"&amp;AH272</f>
        <v>45292-45473</v>
      </c>
      <c r="AF273" s="3887"/>
      <c r="AG273" s="3881"/>
      <c r="AH273" s="4118"/>
      <c r="AI273" s="3881"/>
      <c r="AJ273" s="3885"/>
      <c r="AK273" s="3885"/>
      <c r="AL273" s="3886" t="str">
        <f>AM272&amp;"-"&amp;AO272</f>
        <v>45474-45657</v>
      </c>
      <c r="AM273" s="3887"/>
      <c r="AN273" s="3881"/>
      <c r="AO273" s="3887"/>
      <c r="AP273" s="3881"/>
      <c r="AQ273" s="3885"/>
      <c r="AR273" s="3885"/>
      <c r="AS273" s="3886" t="str">
        <f>AT272&amp;"-"&amp;AV272</f>
        <v>45658-45838</v>
      </c>
      <c r="AT273" s="3887"/>
      <c r="AU273" s="3881"/>
      <c r="AV273" s="3887"/>
      <c r="AW273" s="3881"/>
      <c r="AX273" s="3885"/>
      <c r="AY273" s="3885"/>
      <c r="AZ273" s="3886" t="str">
        <f>BA272&amp;"-"&amp;BC272</f>
        <v>45839-46022</v>
      </c>
      <c r="BA273" s="3887"/>
      <c r="BB273" s="3881"/>
      <c r="BC273" s="3887"/>
      <c r="BD273" s="3881"/>
      <c r="BE273" s="3885"/>
      <c r="BF273" s="3885"/>
      <c r="BG273" s="3886" t="str">
        <f>BH272&amp;"-"&amp;BJ272</f>
        <v>46023-46203</v>
      </c>
      <c r="BH273" s="3887"/>
      <c r="BI273" s="3881"/>
      <c r="BJ273" s="3887"/>
      <c r="BK273" s="3881"/>
      <c r="BL273" s="3885"/>
      <c r="BM273" s="3885"/>
      <c r="BN273" s="3886" t="str">
        <f>BO272&amp;"-"&amp;BQ272</f>
        <v>46204-46387</v>
      </c>
      <c r="BO273" s="3887"/>
      <c r="BP273" s="3881"/>
      <c r="BQ273" s="3887"/>
      <c r="BR273" s="3881"/>
      <c r="BS273" s="3885"/>
      <c r="BT273" s="3885"/>
      <c r="BU273" s="3886" t="str">
        <f>BV272&amp;"-"&amp;BX272</f>
        <v>46388-46568</v>
      </c>
      <c r="BV273" s="3887"/>
      <c r="BW273" s="3881"/>
      <c r="BX273" s="3887"/>
      <c r="BY273" s="3881"/>
      <c r="BZ273" s="3885"/>
      <c r="CA273" s="3885"/>
      <c r="CB273" s="3886" t="str">
        <f>CC272&amp;"-"&amp;CE272</f>
        <v>46569-46752</v>
      </c>
      <c r="CC273" s="3887"/>
      <c r="CD273" s="3881"/>
      <c r="CE273" s="3887"/>
      <c r="CF273" s="3881"/>
      <c r="CG273" s="3885"/>
      <c r="CH273" s="3885"/>
      <c r="CI273" s="3886" t="str">
        <f>CJ272&amp;"-"&amp;CL272</f>
        <v>46753-46934</v>
      </c>
      <c r="CJ273" s="3887"/>
      <c r="CK273" s="3881"/>
      <c r="CL273" s="3887"/>
      <c r="CM273" s="3881"/>
      <c r="CN273" s="3885"/>
      <c r="CO273" s="3885"/>
      <c r="CP273" s="3886" t="str">
        <f>CQ272&amp;"-"&amp;CS272</f>
        <v>46935-47118</v>
      </c>
      <c r="CQ273" s="3887"/>
      <c r="CR273" s="3881"/>
      <c r="CS273" s="3887"/>
      <c r="CT273" s="3881"/>
      <c r="CU273" s="4203"/>
      <c r="CV273" s="4200"/>
      <c r="CW273" s="4093"/>
      <c r="CX273" s="4196"/>
      <c r="CY273" s="4196" t="str">
        <f>IF(T273="","",T273)</f>
        <v/>
      </c>
      <c r="CZ273" s="4196"/>
      <c r="DA273" s="4196"/>
      <c r="DB273" s="3858">
        <v>0</v>
      </c>
    </row>
    <row s="9455" customFormat="1" customHeight="1" ht="21">
      <c r="A274" s="4183"/>
      <c r="B274" s="4183"/>
      <c r="C274" s="4183"/>
      <c r="D274" s="4183"/>
      <c r="E274" s="4184"/>
      <c r="F274" s="4184"/>
      <c r="G274" s="4184"/>
      <c r="H274" s="4184"/>
      <c r="I274" s="4185"/>
      <c r="J274" s="4186" t="str">
        <f>I262&amp;".2"</f>
        <v>1.12.1.1.2</v>
      </c>
      <c r="K274" s="4183"/>
      <c r="L274" s="4187"/>
      <c r="M274" s="4188"/>
      <c r="N274" s="4188"/>
      <c r="O274" s="4188"/>
      <c r="P274" s="4189"/>
      <c r="Q274" s="4189"/>
      <c r="R274" s="4205"/>
      <c r="S274" s="9456"/>
      <c r="T274" s="9457" t="s">
        <v>615</v>
      </c>
      <c r="U274" s="9458"/>
      <c r="V274" s="9459"/>
      <c r="W274" s="9460"/>
      <c r="X274" s="9461"/>
      <c r="Y274" s="9462"/>
      <c r="Z274" s="9463"/>
      <c r="AA274" s="9464"/>
      <c r="AB274" s="9465"/>
      <c r="AC274" s="9466"/>
      <c r="AD274" s="9467"/>
      <c r="AE274" s="9468"/>
      <c r="AF274" s="9469"/>
      <c r="AG274" s="9470"/>
      <c r="AH274" s="9471"/>
      <c r="AI274" s="9472"/>
      <c r="AJ274" s="9473"/>
      <c r="AK274" s="9474"/>
      <c r="AL274" s="9475"/>
      <c r="AM274" s="9476"/>
      <c r="AN274" s="9477"/>
      <c r="AO274" s="9478"/>
      <c r="AP274" s="9479"/>
      <c r="AQ274" s="9480"/>
      <c r="AR274" s="9481"/>
      <c r="AS274" s="9482"/>
      <c r="AT274" s="9483"/>
      <c r="AU274" s="9484"/>
      <c r="AV274" s="9485"/>
      <c r="AW274" s="9486"/>
      <c r="AX274" s="9487"/>
      <c r="AY274" s="9488"/>
      <c r="AZ274" s="9489"/>
      <c r="BA274" s="9490"/>
      <c r="BB274" s="9491"/>
      <c r="BC274" s="9492"/>
      <c r="BD274" s="9493"/>
      <c r="BE274" s="9494"/>
      <c r="BF274" s="9495"/>
      <c r="BG274" s="9496"/>
      <c r="BH274" s="9497"/>
      <c r="BI274" s="9498"/>
      <c r="BJ274" s="9499"/>
      <c r="BK274" s="9500"/>
      <c r="BL274" s="9501"/>
      <c r="BM274" s="9502"/>
      <c r="BN274" s="9503"/>
      <c r="BO274" s="9504"/>
      <c r="BP274" s="9505"/>
      <c r="BQ274" s="9506"/>
      <c r="BR274" s="9507"/>
      <c r="BS274" s="9508"/>
      <c r="BT274" s="9509"/>
      <c r="BU274" s="9510"/>
      <c r="BV274" s="9511"/>
      <c r="BW274" s="9512"/>
      <c r="BX274" s="9513"/>
      <c r="BY274" s="9514"/>
      <c r="BZ274" s="9515"/>
      <c r="CA274" s="9516"/>
      <c r="CB274" s="9517"/>
      <c r="CC274" s="9518"/>
      <c r="CD274" s="9519"/>
      <c r="CE274" s="9520"/>
      <c r="CF274" s="9521"/>
      <c r="CG274" s="9522"/>
      <c r="CH274" s="9523"/>
      <c r="CI274" s="9524"/>
      <c r="CJ274" s="9525"/>
      <c r="CK274" s="9526"/>
      <c r="CL274" s="9527"/>
      <c r="CM274" s="9528"/>
      <c r="CN274" s="9529"/>
      <c r="CO274" s="9530"/>
      <c r="CP274" s="9531"/>
      <c r="CQ274" s="9532"/>
      <c r="CR274" s="9533"/>
      <c r="CS274" s="9534"/>
      <c r="CT274" s="9535"/>
      <c r="CU274" s="9536"/>
      <c r="CV274" s="4287" t="s">
        <v>616</v>
      </c>
      <c r="CW274" s="4093"/>
      <c r="CX274" s="4196"/>
      <c r="CY274" s="4196" t="str">
        <f>IF(T274="","",T274)</f>
        <v>Добавить значение признака дифференциации</v>
      </c>
      <c r="CZ274" s="4196"/>
      <c r="DA274" s="4196"/>
      <c r="DB274" s="3858">
        <v>0</v>
      </c>
    </row>
    <row s="9537" customFormat="1" customHeight="1" ht="21">
      <c r="A275" s="4183"/>
      <c r="B275" s="4183"/>
      <c r="C275" s="4183"/>
      <c r="D275" s="4183"/>
      <c r="E275" s="4184"/>
      <c r="F275" s="4184" t="s">
        <v>150</v>
      </c>
      <c r="G275" s="4184"/>
      <c r="H275" s="4184"/>
      <c r="I275" s="4186"/>
      <c r="J275" s="4183"/>
      <c r="K275" s="4183"/>
      <c r="L275" s="4187"/>
      <c r="M275" s="4188"/>
      <c r="N275" s="4188"/>
      <c r="O275" s="4188"/>
      <c r="P275" s="4189"/>
      <c r="Q275" s="4189"/>
      <c r="R275" s="4205"/>
      <c r="S275" s="9538"/>
      <c r="T275" s="9539" t="s">
        <v>544</v>
      </c>
      <c r="U275" s="9540"/>
      <c r="V275" s="9541"/>
      <c r="W275" s="9542"/>
      <c r="X275" s="9543"/>
      <c r="Y275" s="9544"/>
      <c r="Z275" s="9545"/>
      <c r="AA275" s="9546"/>
      <c r="AB275" s="9547"/>
      <c r="AC275" s="9548"/>
      <c r="AD275" s="9549"/>
      <c r="AE275" s="9550"/>
      <c r="AF275" s="9551"/>
      <c r="AG275" s="9552"/>
      <c r="AH275" s="9553"/>
      <c r="AI275" s="9554"/>
      <c r="AJ275" s="9555"/>
      <c r="AK275" s="9556"/>
      <c r="AL275" s="9557"/>
      <c r="AM275" s="9558"/>
      <c r="AN275" s="9559"/>
      <c r="AO275" s="9560"/>
      <c r="AP275" s="9561"/>
      <c r="AQ275" s="9562"/>
      <c r="AR275" s="9563"/>
      <c r="AS275" s="9564"/>
      <c r="AT275" s="9565"/>
      <c r="AU275" s="9566"/>
      <c r="AV275" s="9567"/>
      <c r="AW275" s="9568"/>
      <c r="AX275" s="9569"/>
      <c r="AY275" s="9570"/>
      <c r="AZ275" s="9571"/>
      <c r="BA275" s="9572"/>
      <c r="BB275" s="9573"/>
      <c r="BC275" s="9574"/>
      <c r="BD275" s="9575"/>
      <c r="BE275" s="9576"/>
      <c r="BF275" s="9577"/>
      <c r="BG275" s="9578"/>
      <c r="BH275" s="9579"/>
      <c r="BI275" s="9580"/>
      <c r="BJ275" s="9581"/>
      <c r="BK275" s="9582"/>
      <c r="BL275" s="9583"/>
      <c r="BM275" s="9584"/>
      <c r="BN275" s="9585"/>
      <c r="BO275" s="9586"/>
      <c r="BP275" s="9587"/>
      <c r="BQ275" s="9588"/>
      <c r="BR275" s="9589"/>
      <c r="BS275" s="9590"/>
      <c r="BT275" s="9591"/>
      <c r="BU275" s="9592"/>
      <c r="BV275" s="9593"/>
      <c r="BW275" s="9594"/>
      <c r="BX275" s="9595"/>
      <c r="BY275" s="9596"/>
      <c r="BZ275" s="9597"/>
      <c r="CA275" s="9598"/>
      <c r="CB275" s="9599"/>
      <c r="CC275" s="9600"/>
      <c r="CD275" s="9601"/>
      <c r="CE275" s="9602"/>
      <c r="CF275" s="9603"/>
      <c r="CG275" s="9604"/>
      <c r="CH275" s="9605"/>
      <c r="CI275" s="9606"/>
      <c r="CJ275" s="9607"/>
      <c r="CK275" s="9608"/>
      <c r="CL275" s="9609"/>
      <c r="CM275" s="9610"/>
      <c r="CN275" s="9611"/>
      <c r="CO275" s="9612"/>
      <c r="CP275" s="9613"/>
      <c r="CQ275" s="9614"/>
      <c r="CR275" s="9615"/>
      <c r="CS275" s="9616"/>
      <c r="CT275" s="9617"/>
      <c r="CU275" s="9618"/>
      <c r="CV275" s="9619"/>
      <c r="CW275" s="4093"/>
      <c r="CX275" s="4196"/>
      <c r="CY275" s="4196" t="str">
        <f>IF(T275="","",T275)</f>
        <v>Добавить группу потребителей</v>
      </c>
      <c r="CZ275" s="4196"/>
      <c r="DA275" s="4196"/>
      <c r="DB275" s="3858">
        <v>0</v>
      </c>
    </row>
    <row s="9620" customFormat="1" customHeight="1" ht="14.25">
      <c r="A276" s="4183"/>
      <c r="B276" s="4183"/>
      <c r="C276" s="4183"/>
      <c r="D276" s="4183"/>
      <c r="E276" s="4184"/>
      <c r="F276" s="4184" t="s">
        <v>150</v>
      </c>
      <c r="G276" s="4184"/>
      <c r="H276" s="4500"/>
      <c r="I276" s="4183"/>
      <c r="J276" s="4183"/>
      <c r="K276" s="4183"/>
      <c r="L276" s="4187"/>
      <c r="M276" s="4501"/>
      <c r="N276" s="4501"/>
      <c r="O276" s="4083"/>
      <c r="P276" s="4853"/>
      <c r="Q276" s="4854"/>
      <c r="R276" s="4855"/>
      <c r="S276" s="9621"/>
      <c r="T276" s="9622" t="s">
        <v>617</v>
      </c>
      <c r="U276" s="9623"/>
      <c r="V276" s="9624"/>
      <c r="W276" s="9625"/>
      <c r="X276" s="9626"/>
      <c r="Y276" s="9627"/>
      <c r="Z276" s="9628"/>
      <c r="AA276" s="9629"/>
      <c r="AB276" s="9630"/>
      <c r="AC276" s="9631"/>
      <c r="AD276" s="9632"/>
      <c r="AE276" s="9633"/>
      <c r="AF276" s="9634"/>
      <c r="AG276" s="9635"/>
      <c r="AH276" s="9636"/>
      <c r="AI276" s="9637"/>
      <c r="AJ276" s="9638"/>
      <c r="AK276" s="9639"/>
      <c r="AL276" s="9640"/>
      <c r="AM276" s="9641"/>
      <c r="AN276" s="9642"/>
      <c r="AO276" s="9643"/>
      <c r="AP276" s="9644"/>
      <c r="AQ276" s="9645"/>
      <c r="AR276" s="9646"/>
      <c r="AS276" s="9647"/>
      <c r="AT276" s="9648"/>
      <c r="AU276" s="9649"/>
      <c r="AV276" s="9650"/>
      <c r="AW276" s="9651"/>
      <c r="AX276" s="9652"/>
      <c r="AY276" s="9653"/>
      <c r="AZ276" s="9654"/>
      <c r="BA276" s="9655"/>
      <c r="BB276" s="9656"/>
      <c r="BC276" s="9657"/>
      <c r="BD276" s="9658"/>
      <c r="BE276" s="9659"/>
      <c r="BF276" s="9660"/>
      <c r="BG276" s="9661"/>
      <c r="BH276" s="9662"/>
      <c r="BI276" s="9663"/>
      <c r="BJ276" s="9664"/>
      <c r="BK276" s="9665"/>
      <c r="BL276" s="9666"/>
      <c r="BM276" s="9667"/>
      <c r="BN276" s="9668"/>
      <c r="BO276" s="9669"/>
      <c r="BP276" s="9670"/>
      <c r="BQ276" s="9671"/>
      <c r="BR276" s="9672"/>
      <c r="BS276" s="9673"/>
      <c r="BT276" s="9674"/>
      <c r="BU276" s="9675"/>
      <c r="BV276" s="9676"/>
      <c r="BW276" s="9677"/>
      <c r="BX276" s="9678"/>
      <c r="BY276" s="9679"/>
      <c r="BZ276" s="9680"/>
      <c r="CA276" s="9681"/>
      <c r="CB276" s="9682"/>
      <c r="CC276" s="9683"/>
      <c r="CD276" s="9684"/>
      <c r="CE276" s="9685"/>
      <c r="CF276" s="9686"/>
      <c r="CG276" s="9687"/>
      <c r="CH276" s="9688"/>
      <c r="CI276" s="9689"/>
      <c r="CJ276" s="9690"/>
      <c r="CK276" s="9691"/>
      <c r="CL276" s="9692"/>
      <c r="CM276" s="9693"/>
      <c r="CN276" s="9694"/>
      <c r="CO276" s="9695"/>
      <c r="CP276" s="9696"/>
      <c r="CQ276" s="9697"/>
      <c r="CR276" s="9698"/>
      <c r="CS276" s="9699"/>
      <c r="CT276" s="9700"/>
      <c r="CU276" s="9701"/>
      <c r="CV276" s="9702"/>
      <c r="CW276" s="4093"/>
      <c r="CX276" s="4196"/>
      <c r="CY276" s="4196" t="str">
        <f>IF(T276="","",T276)</f>
        <v>Добавить наименование признака дифференциации</v>
      </c>
      <c r="CZ276" s="4196"/>
      <c r="DA276" s="4196"/>
      <c r="DB276" s="3858">
        <v>0</v>
      </c>
    </row>
    <row s="9703" customFormat="1" customHeight="1" ht="14.25">
      <c r="A277" s="4939"/>
      <c r="B277" s="4939"/>
      <c r="C277" s="4939"/>
      <c r="D277" s="4939"/>
      <c r="E277" s="4184"/>
      <c r="F277" s="4500" t="s">
        <v>150</v>
      </c>
      <c r="G277" s="4939"/>
      <c r="H277" s="4939"/>
      <c r="I277" s="4939"/>
      <c r="J277" s="4939"/>
      <c r="K277" s="4939"/>
      <c r="L277" s="4940"/>
      <c r="M277" s="4941"/>
      <c r="N277" s="4941"/>
      <c r="O277" s="4093"/>
      <c r="P277" s="4942"/>
      <c r="Q277" s="4943"/>
      <c r="R277" s="4942"/>
      <c r="S277" s="4944"/>
      <c r="T277" s="4945" t="s">
        <v>302</v>
      </c>
      <c r="U277" s="4081"/>
      <c r="V277" s="4081"/>
      <c r="W277" s="4081"/>
      <c r="X277" s="4081"/>
      <c r="Y277" s="4081"/>
      <c r="Z277" s="4081"/>
      <c r="AA277" s="4081"/>
      <c r="AB277" s="4081"/>
      <c r="AC277" s="4081"/>
      <c r="AD277" s="4081"/>
      <c r="AE277" s="4081"/>
      <c r="AF277" s="4081"/>
      <c r="AG277" s="4081"/>
      <c r="AH277" s="4081"/>
      <c r="AI277" s="4081"/>
      <c r="AJ277" s="4081"/>
      <c r="AK277" s="4081"/>
      <c r="AL277" s="4081"/>
      <c r="AM277" s="4081"/>
      <c r="AN277" s="4081"/>
      <c r="AO277" s="4081"/>
      <c r="AP277" s="4081"/>
      <c r="AQ277" s="4081"/>
      <c r="AR277" s="4081"/>
      <c r="AS277" s="4081"/>
      <c r="AT277" s="4081"/>
      <c r="AU277" s="4081"/>
      <c r="AV277" s="4081"/>
      <c r="AW277" s="4081"/>
      <c r="AX277" s="4081"/>
      <c r="AY277" s="4081"/>
      <c r="AZ277" s="4081"/>
      <c r="BA277" s="4081"/>
      <c r="BB277" s="4081"/>
      <c r="BC277" s="4081"/>
      <c r="BD277" s="4081"/>
      <c r="BE277" s="4081"/>
      <c r="BF277" s="4081"/>
      <c r="BG277" s="4081"/>
      <c r="BH277" s="4081"/>
      <c r="BI277" s="4081"/>
      <c r="BJ277" s="4081"/>
      <c r="BK277" s="4081"/>
      <c r="BL277" s="4081"/>
      <c r="BM277" s="4081"/>
      <c r="BN277" s="4081"/>
      <c r="BO277" s="4081"/>
      <c r="BP277" s="4081"/>
      <c r="BQ277" s="4081"/>
      <c r="BR277" s="4081"/>
      <c r="BS277" s="4081"/>
      <c r="BT277" s="4081"/>
      <c r="BU277" s="4081"/>
      <c r="BV277" s="4081"/>
      <c r="BW277" s="4081"/>
      <c r="BX277" s="4081"/>
      <c r="BY277" s="4081"/>
      <c r="BZ277" s="4081"/>
      <c r="CA277" s="4081"/>
      <c r="CB277" s="4081"/>
      <c r="CC277" s="4081"/>
      <c r="CD277" s="4081"/>
      <c r="CE277" s="4081"/>
      <c r="CF277" s="4081"/>
      <c r="CG277" s="4081"/>
      <c r="CH277" s="4081"/>
      <c r="CI277" s="4081"/>
      <c r="CJ277" s="4081"/>
      <c r="CK277" s="4081"/>
      <c r="CL277" s="4081"/>
      <c r="CM277" s="4081"/>
      <c r="CN277" s="4081"/>
      <c r="CO277" s="4081"/>
      <c r="CP277" s="4081"/>
      <c r="CQ277" s="4081"/>
      <c r="CR277" s="4081"/>
      <c r="CS277" s="4081"/>
      <c r="CT277" s="4081"/>
      <c r="CU277" s="4081"/>
      <c r="CV277" s="4081"/>
      <c r="CW277" s="4093"/>
      <c r="CX277" s="4196"/>
      <c r="CY277" s="4196" t="str">
        <f>IF(T277="","",T277)</f>
        <v>Добавить централизованную систему для дифференциации</v>
      </c>
      <c r="CZ277" s="4196"/>
      <c r="DA277" s="4196"/>
      <c r="DB277" s="4093">
        <v>0</v>
      </c>
    </row>
    <row s="9704" customFormat="1" customHeight="1" ht="23.25">
      <c r="A278" s="4183"/>
      <c r="B278" s="4183" t="s">
        <v>340</v>
      </c>
      <c r="C278" s="4183"/>
      <c r="D278" s="4183"/>
      <c r="E278" s="4184"/>
      <c r="F278" s="4500" t="s">
        <v>160</v>
      </c>
      <c r="G278" s="4183"/>
      <c r="H278" s="4183"/>
      <c r="I278" s="4183"/>
      <c r="J278" s="4183"/>
      <c r="K278" s="4183"/>
      <c r="L278" s="4187"/>
      <c r="M278" s="4501"/>
      <c r="N278" s="4501"/>
      <c r="O278" s="4501"/>
      <c r="P278" s="4502"/>
      <c r="Q278" s="4503"/>
      <c r="R278" s="4504"/>
      <c r="S278" s="4192" t="str">
        <f>INDEX(PT_DIFFERENTIATION_NUM_TER,MATCH(B278,PT_DIFFERENTIATION_TER_ID,0))</f>
        <v>1.13</v>
      </c>
      <c r="T278" s="4505" t="s">
        <v>529</v>
      </c>
      <c r="U278" s="4194"/>
      <c r="V278" s="3860"/>
      <c r="W278" s="3861"/>
      <c r="X278" s="3861"/>
      <c r="Y278" s="3861"/>
      <c r="Z278" s="3861"/>
      <c r="AA278" s="3861"/>
      <c r="AB278" s="3862"/>
      <c r="AC278" s="3860" t="str">
        <f>INDEX(PT_DIFFERENTIATION_TER,MATCH(B278,PT_DIFFERENTIATION_TER_ID,0))</f>
        <v>Территория 13</v>
      </c>
      <c r="AD278" s="3861"/>
      <c r="AE278" s="3861"/>
      <c r="AF278" s="3861"/>
      <c r="AG278" s="3861"/>
      <c r="AH278" s="3861"/>
      <c r="AI278" s="3861"/>
      <c r="AJ278" s="3860"/>
      <c r="AK278" s="3861"/>
      <c r="AL278" s="3861"/>
      <c r="AM278" s="3861"/>
      <c r="AN278" s="3861"/>
      <c r="AO278" s="3861"/>
      <c r="AP278" s="3862"/>
      <c r="AQ278" s="3860"/>
      <c r="AR278" s="3861"/>
      <c r="AS278" s="3861"/>
      <c r="AT278" s="3861"/>
      <c r="AU278" s="3861"/>
      <c r="AV278" s="3861"/>
      <c r="AW278" s="3862"/>
      <c r="AX278" s="3860"/>
      <c r="AY278" s="3861"/>
      <c r="AZ278" s="3861"/>
      <c r="BA278" s="3861"/>
      <c r="BB278" s="3861"/>
      <c r="BC278" s="3861"/>
      <c r="BD278" s="3862"/>
      <c r="BE278" s="3860"/>
      <c r="BF278" s="3861"/>
      <c r="BG278" s="3861"/>
      <c r="BH278" s="3861"/>
      <c r="BI278" s="3861"/>
      <c r="BJ278" s="3861"/>
      <c r="BK278" s="3862"/>
      <c r="BL278" s="3860"/>
      <c r="BM278" s="3861"/>
      <c r="BN278" s="3861"/>
      <c r="BO278" s="3861"/>
      <c r="BP278" s="3861"/>
      <c r="BQ278" s="3861"/>
      <c r="BR278" s="3862"/>
      <c r="BS278" s="3860"/>
      <c r="BT278" s="3861"/>
      <c r="BU278" s="3861"/>
      <c r="BV278" s="3861"/>
      <c r="BW278" s="3861"/>
      <c r="BX278" s="3861"/>
      <c r="BY278" s="3862"/>
      <c r="BZ278" s="3860"/>
      <c r="CA278" s="3861"/>
      <c r="CB278" s="3861"/>
      <c r="CC278" s="3861"/>
      <c r="CD278" s="3861"/>
      <c r="CE278" s="3861"/>
      <c r="CF278" s="3862"/>
      <c r="CG278" s="3860"/>
      <c r="CH278" s="3861"/>
      <c r="CI278" s="3861"/>
      <c r="CJ278" s="3861"/>
      <c r="CK278" s="3861"/>
      <c r="CL278" s="3861"/>
      <c r="CM278" s="3862"/>
      <c r="CN278" s="3860"/>
      <c r="CO278" s="3861"/>
      <c r="CP278" s="3861"/>
      <c r="CQ278" s="3861"/>
      <c r="CR278" s="3861"/>
      <c r="CS278" s="3861"/>
      <c r="CT278" s="3862"/>
      <c r="CU278" s="3862"/>
      <c r="CV278" s="4287" t="s">
        <v>530</v>
      </c>
      <c r="CW278" s="4093"/>
      <c r="CX278" s="4196"/>
      <c r="CY278" s="4196" t="str">
        <f>IF(T278="","",T278)</f>
        <v>Территория действия тарифа</v>
      </c>
      <c r="CZ278" s="4196"/>
      <c r="DA278" s="4196"/>
      <c r="DB278" s="3858">
        <v>0</v>
      </c>
    </row>
    <row s="9705" customFormat="1" customHeight="1" ht="23.25">
      <c r="A279" s="4183"/>
      <c r="B279" s="4183"/>
      <c r="C279" s="4183" t="s">
        <v>341</v>
      </c>
      <c r="D279" s="4183"/>
      <c r="E279" s="4184"/>
      <c r="F279" s="4184" t="s">
        <v>155</v>
      </c>
      <c r="G279" s="4500">
        <v>1</v>
      </c>
      <c r="H279" s="4183"/>
      <c r="I279" s="4183"/>
      <c r="J279" s="4183"/>
      <c r="K279" s="4183"/>
      <c r="L279" s="4187"/>
      <c r="M279" s="4501"/>
      <c r="N279" s="4501"/>
      <c r="O279" s="4501"/>
      <c r="P279" s="4507"/>
      <c r="Q279" s="4503"/>
      <c r="R279" s="4504"/>
      <c r="S279" s="4192" t="str">
        <f>INDEX(PT_DIFFERENTIATION_NUM_CS,MATCH(C279,PT_DIFFERENTIATION_CS_ID,0))</f>
        <v>1.13.1</v>
      </c>
      <c r="T279" s="4508" t="s">
        <v>610</v>
      </c>
      <c r="U279" s="4194"/>
      <c r="V279" s="3860"/>
      <c r="W279" s="3861"/>
      <c r="X279" s="3861"/>
      <c r="Y279" s="3861"/>
      <c r="Z279" s="3861"/>
      <c r="AA279" s="3861"/>
      <c r="AB279" s="3862"/>
      <c r="AC279" s="3860" t="str">
        <f>INDEX(PT_DIFFERENTIATION_CS,MATCH(C279,PT_DIFFERENTIATION_CS_ID,0))</f>
        <v>без дифференциации</v>
      </c>
      <c r="AD279" s="3861"/>
      <c r="AE279" s="3861"/>
      <c r="AF279" s="3861"/>
      <c r="AG279" s="3861"/>
      <c r="AH279" s="3861"/>
      <c r="AI279" s="3861"/>
      <c r="AJ279" s="3860"/>
      <c r="AK279" s="3861"/>
      <c r="AL279" s="3861"/>
      <c r="AM279" s="3861"/>
      <c r="AN279" s="3861"/>
      <c r="AO279" s="3861"/>
      <c r="AP279" s="3862"/>
      <c r="AQ279" s="3860"/>
      <c r="AR279" s="3861"/>
      <c r="AS279" s="3861"/>
      <c r="AT279" s="3861"/>
      <c r="AU279" s="3861"/>
      <c r="AV279" s="3861"/>
      <c r="AW279" s="3862"/>
      <c r="AX279" s="3860"/>
      <c r="AY279" s="3861"/>
      <c r="AZ279" s="3861"/>
      <c r="BA279" s="3861"/>
      <c r="BB279" s="3861"/>
      <c r="BC279" s="3861"/>
      <c r="BD279" s="3862"/>
      <c r="BE279" s="3860"/>
      <c r="BF279" s="3861"/>
      <c r="BG279" s="3861"/>
      <c r="BH279" s="3861"/>
      <c r="BI279" s="3861"/>
      <c r="BJ279" s="3861"/>
      <c r="BK279" s="3862"/>
      <c r="BL279" s="3860"/>
      <c r="BM279" s="3861"/>
      <c r="BN279" s="3861"/>
      <c r="BO279" s="3861"/>
      <c r="BP279" s="3861"/>
      <c r="BQ279" s="3861"/>
      <c r="BR279" s="3862"/>
      <c r="BS279" s="3860"/>
      <c r="BT279" s="3861"/>
      <c r="BU279" s="3861"/>
      <c r="BV279" s="3861"/>
      <c r="BW279" s="3861"/>
      <c r="BX279" s="3861"/>
      <c r="BY279" s="3862"/>
      <c r="BZ279" s="3860"/>
      <c r="CA279" s="3861"/>
      <c r="CB279" s="3861"/>
      <c r="CC279" s="3861"/>
      <c r="CD279" s="3861"/>
      <c r="CE279" s="3861"/>
      <c r="CF279" s="3862"/>
      <c r="CG279" s="3860"/>
      <c r="CH279" s="3861"/>
      <c r="CI279" s="3861"/>
      <c r="CJ279" s="3861"/>
      <c r="CK279" s="3861"/>
      <c r="CL279" s="3861"/>
      <c r="CM279" s="3862"/>
      <c r="CN279" s="3860"/>
      <c r="CO279" s="3861"/>
      <c r="CP279" s="3861"/>
      <c r="CQ279" s="3861"/>
      <c r="CR279" s="3861"/>
      <c r="CS279" s="3861"/>
      <c r="CT279" s="3862"/>
      <c r="CU279" s="3862"/>
      <c r="CV279" s="4287" t="s">
        <v>611</v>
      </c>
      <c r="CW279" s="4093"/>
      <c r="CX279" s="4196"/>
      <c r="CY279" s="4196" t="str">
        <f>IF(T279="","",T279)</f>
        <v>Наименование централизованной системы холодного водоснабжения</v>
      </c>
      <c r="CZ279" s="4196"/>
      <c r="DA279" s="4196"/>
      <c r="DB279" s="3858">
        <v>0</v>
      </c>
    </row>
    <row s="9706" customFormat="1" customHeight="1" ht="23.25">
      <c r="A280" s="4183"/>
      <c r="B280" s="4183"/>
      <c r="C280" s="4183"/>
      <c r="D280" s="4183"/>
      <c r="E280" s="4184"/>
      <c r="F280" s="4184" t="s">
        <v>155</v>
      </c>
      <c r="G280" s="4184"/>
      <c r="H280" s="4184"/>
      <c r="I280" s="4186" t="str">
        <f>S279&amp;".1"</f>
        <v>1.13.1.1</v>
      </c>
      <c r="J280" s="4183"/>
      <c r="K280" s="4183"/>
      <c r="L280" s="4187"/>
      <c r="M280" s="4188"/>
      <c r="N280" s="4188"/>
      <c r="O280" s="4188"/>
      <c r="P280" s="4189">
        <v>1</v>
      </c>
      <c r="Q280" s="4189"/>
      <c r="R280" s="4205"/>
      <c r="S280" s="4192" t="str">
        <f>$I280</f>
        <v>1.13.1.1</v>
      </c>
      <c r="T280" s="4510" t="s">
        <v>612</v>
      </c>
      <c r="U280" s="4194"/>
      <c r="V280" s="3870"/>
      <c r="W280" s="3871"/>
      <c r="X280" s="3871"/>
      <c r="Y280" s="3871"/>
      <c r="Z280" s="3871"/>
      <c r="AA280" s="3871"/>
      <c r="AB280" s="3872"/>
      <c r="AC280" s="4511"/>
      <c r="AD280" s="4512"/>
      <c r="AE280" s="4512"/>
      <c r="AF280" s="4512"/>
      <c r="AG280" s="4512"/>
      <c r="AH280" s="4512"/>
      <c r="AI280" s="4512"/>
      <c r="AJ280" s="3870"/>
      <c r="AK280" s="3871"/>
      <c r="AL280" s="3871"/>
      <c r="AM280" s="3871"/>
      <c r="AN280" s="3871"/>
      <c r="AO280" s="3871"/>
      <c r="AP280" s="3872"/>
      <c r="AQ280" s="3870"/>
      <c r="AR280" s="3871"/>
      <c r="AS280" s="3871"/>
      <c r="AT280" s="3871"/>
      <c r="AU280" s="3871"/>
      <c r="AV280" s="3871"/>
      <c r="AW280" s="3872"/>
      <c r="AX280" s="3870"/>
      <c r="AY280" s="3871"/>
      <c r="AZ280" s="3871"/>
      <c r="BA280" s="3871"/>
      <c r="BB280" s="3871"/>
      <c r="BC280" s="3871"/>
      <c r="BD280" s="3872"/>
      <c r="BE280" s="3870"/>
      <c r="BF280" s="3871"/>
      <c r="BG280" s="3871"/>
      <c r="BH280" s="3871"/>
      <c r="BI280" s="3871"/>
      <c r="BJ280" s="3871"/>
      <c r="BK280" s="3872"/>
      <c r="BL280" s="3870"/>
      <c r="BM280" s="3871"/>
      <c r="BN280" s="3871"/>
      <c r="BO280" s="3871"/>
      <c r="BP280" s="3871"/>
      <c r="BQ280" s="3871"/>
      <c r="BR280" s="3872"/>
      <c r="BS280" s="3870"/>
      <c r="BT280" s="3871"/>
      <c r="BU280" s="3871"/>
      <c r="BV280" s="3871"/>
      <c r="BW280" s="3871"/>
      <c r="BX280" s="3871"/>
      <c r="BY280" s="3872"/>
      <c r="BZ280" s="3870"/>
      <c r="CA280" s="3871"/>
      <c r="CB280" s="3871"/>
      <c r="CC280" s="3871"/>
      <c r="CD280" s="3871"/>
      <c r="CE280" s="3871"/>
      <c r="CF280" s="3872"/>
      <c r="CG280" s="3870"/>
      <c r="CH280" s="3871"/>
      <c r="CI280" s="3871"/>
      <c r="CJ280" s="3871"/>
      <c r="CK280" s="3871"/>
      <c r="CL280" s="3871"/>
      <c r="CM280" s="3872"/>
      <c r="CN280" s="3870"/>
      <c r="CO280" s="3871"/>
      <c r="CP280" s="3871"/>
      <c r="CQ280" s="3871"/>
      <c r="CR280" s="3871"/>
      <c r="CS280" s="3871"/>
      <c r="CT280" s="3872"/>
      <c r="CU280" s="4513"/>
      <c r="CV280" s="4287" t="s">
        <v>613</v>
      </c>
      <c r="CW280" s="4093"/>
      <c r="CX280" s="4196"/>
      <c r="CY280" s="4196" t="str">
        <f>IF(T280="","",T280)</f>
        <v>Наименование признака дифференциации</v>
      </c>
      <c r="CZ280" s="4196"/>
      <c r="DA280" s="4196"/>
      <c r="DB280" s="3858">
        <v>0</v>
      </c>
    </row>
    <row s="9707" customFormat="1" customHeight="1" ht="23.25">
      <c r="A281" s="4183"/>
      <c r="B281" s="4183"/>
      <c r="C281" s="4183"/>
      <c r="D281" s="4183"/>
      <c r="E281" s="4184"/>
      <c r="F281" s="4184" t="s">
        <v>155</v>
      </c>
      <c r="G281" s="4184"/>
      <c r="H281" s="4184"/>
      <c r="I281" s="4185"/>
      <c r="J281" s="4186" t="str">
        <f>I280&amp;".1"</f>
        <v>1.13.1.1.1</v>
      </c>
      <c r="K281" s="4183"/>
      <c r="L281" s="4187" t="s">
        <v>538</v>
      </c>
      <c r="M281" s="4188"/>
      <c r="N281" s="4188"/>
      <c r="O281" s="4188"/>
      <c r="P281" s="4189"/>
      <c r="Q281" s="4189">
        <v>1</v>
      </c>
      <c r="R281" s="4191"/>
      <c r="S281" s="4192" t="str">
        <f>$J281</f>
        <v>1.13.1.1.1</v>
      </c>
      <c r="T281" s="4193" t="s">
        <v>539</v>
      </c>
      <c r="U281" s="4194"/>
      <c r="V281" s="3874"/>
      <c r="W281" s="3875"/>
      <c r="X281" s="3875"/>
      <c r="Y281" s="3875"/>
      <c r="Z281" s="3875"/>
      <c r="AA281" s="3875"/>
      <c r="AB281" s="3876"/>
      <c r="AC281" s="3874" t="s">
        <v>625</v>
      </c>
      <c r="AD281" s="3875"/>
      <c r="AE281" s="3875"/>
      <c r="AF281" s="3875"/>
      <c r="AG281" s="3875"/>
      <c r="AH281" s="3875"/>
      <c r="AI281" s="3875"/>
      <c r="AJ281" s="3874"/>
      <c r="AK281" s="3875"/>
      <c r="AL281" s="3875"/>
      <c r="AM281" s="3875"/>
      <c r="AN281" s="3875"/>
      <c r="AO281" s="3875"/>
      <c r="AP281" s="3876"/>
      <c r="AQ281" s="3874"/>
      <c r="AR281" s="3875"/>
      <c r="AS281" s="3875"/>
      <c r="AT281" s="3875"/>
      <c r="AU281" s="3875"/>
      <c r="AV281" s="3875"/>
      <c r="AW281" s="3876"/>
      <c r="AX281" s="3874"/>
      <c r="AY281" s="3875"/>
      <c r="AZ281" s="3875"/>
      <c r="BA281" s="3875"/>
      <c r="BB281" s="3875"/>
      <c r="BC281" s="3875"/>
      <c r="BD281" s="3876"/>
      <c r="BE281" s="3874"/>
      <c r="BF281" s="3875"/>
      <c r="BG281" s="3875"/>
      <c r="BH281" s="3875"/>
      <c r="BI281" s="3875"/>
      <c r="BJ281" s="3875"/>
      <c r="BK281" s="3876"/>
      <c r="BL281" s="3874"/>
      <c r="BM281" s="3875"/>
      <c r="BN281" s="3875"/>
      <c r="BO281" s="3875"/>
      <c r="BP281" s="3875"/>
      <c r="BQ281" s="3875"/>
      <c r="BR281" s="3876"/>
      <c r="BS281" s="3874"/>
      <c r="BT281" s="3875"/>
      <c r="BU281" s="3875"/>
      <c r="BV281" s="3875"/>
      <c r="BW281" s="3875"/>
      <c r="BX281" s="3875"/>
      <c r="BY281" s="3876"/>
      <c r="BZ281" s="3874"/>
      <c r="CA281" s="3875"/>
      <c r="CB281" s="3875"/>
      <c r="CC281" s="3875"/>
      <c r="CD281" s="3875"/>
      <c r="CE281" s="3875"/>
      <c r="CF281" s="3876"/>
      <c r="CG281" s="3874"/>
      <c r="CH281" s="3875"/>
      <c r="CI281" s="3875"/>
      <c r="CJ281" s="3875"/>
      <c r="CK281" s="3875"/>
      <c r="CL281" s="3875"/>
      <c r="CM281" s="3876"/>
      <c r="CN281" s="3874"/>
      <c r="CO281" s="3875"/>
      <c r="CP281" s="3875"/>
      <c r="CQ281" s="3875"/>
      <c r="CR281" s="3875"/>
      <c r="CS281" s="3875"/>
      <c r="CT281" s="3876"/>
      <c r="CU281" s="3876"/>
      <c r="CV281" s="4195" t="s">
        <v>614</v>
      </c>
      <c r="CW281" s="4093"/>
      <c r="CX281" s="4196"/>
      <c r="CY281" s="4196" t="str">
        <f>IF(T281="","",T281)</f>
        <v>Группа потребителей</v>
      </c>
      <c r="CZ281" s="4196"/>
      <c r="DA281" s="4196"/>
      <c r="DB281" s="3858">
        <v>0</v>
      </c>
    </row>
    <row s="9708" customFormat="1" customHeight="1" ht="23.25">
      <c r="A282" s="4183"/>
      <c r="B282" s="4183"/>
      <c r="C282" s="4183"/>
      <c r="D282" s="4183"/>
      <c r="E282" s="4184"/>
      <c r="F282" s="4184" t="s">
        <v>155</v>
      </c>
      <c r="G282" s="4184"/>
      <c r="H282" s="4184"/>
      <c r="I282" s="4185"/>
      <c r="J282" s="4185"/>
      <c r="K282" s="4186" t="str">
        <f>J281&amp;".1"</f>
        <v>1.13.1.1.1.1</v>
      </c>
      <c r="L282" s="4187"/>
      <c r="M282" s="4188"/>
      <c r="N282" s="4188"/>
      <c r="O282" s="4188"/>
      <c r="P282" s="4189"/>
      <c r="Q282" s="4189"/>
      <c r="R282" s="4191">
        <v>1</v>
      </c>
      <c r="S282" s="4192" t="str">
        <f>$K282</f>
        <v>1.13.1.1.1.1</v>
      </c>
      <c r="T282" s="4198"/>
      <c r="U282" s="4194"/>
      <c r="V282" s="3878"/>
      <c r="W282" s="3878"/>
      <c r="X282" s="3879"/>
      <c r="Y282" s="3880"/>
      <c r="Z282" s="3881" t="s">
        <v>65</v>
      </c>
      <c r="AA282" s="3880"/>
      <c r="AB282" s="3881" t="s">
        <v>65</v>
      </c>
      <c r="AC282" s="3878">
        <v>51.99</v>
      </c>
      <c r="AD282" s="3878"/>
      <c r="AE282" s="3879"/>
      <c r="AF282" s="3880">
        <v>45292</v>
      </c>
      <c r="AG282" s="3881" t="s">
        <v>65</v>
      </c>
      <c r="AH282" s="4116">
        <v>45473</v>
      </c>
      <c r="AI282" s="3881" t="s">
        <v>65</v>
      </c>
      <c r="AJ282" s="3878">
        <v>54.69</v>
      </c>
      <c r="AK282" s="3878"/>
      <c r="AL282" s="3879"/>
      <c r="AM282" s="3880">
        <v>45474</v>
      </c>
      <c r="AN282" s="3881" t="s">
        <v>65</v>
      </c>
      <c r="AO282" s="3880">
        <v>45657</v>
      </c>
      <c r="AP282" s="3881" t="s">
        <v>65</v>
      </c>
      <c r="AQ282" s="3878">
        <v>54.69</v>
      </c>
      <c r="AR282" s="3878"/>
      <c r="AS282" s="3879"/>
      <c r="AT282" s="3880">
        <v>45658</v>
      </c>
      <c r="AU282" s="3881" t="s">
        <v>65</v>
      </c>
      <c r="AV282" s="3880">
        <v>45838</v>
      </c>
      <c r="AW282" s="3881" t="s">
        <v>65</v>
      </c>
      <c r="AX282" s="3878">
        <v>60.3</v>
      </c>
      <c r="AY282" s="3878"/>
      <c r="AZ282" s="3879"/>
      <c r="BA282" s="3880">
        <v>45839</v>
      </c>
      <c r="BB282" s="3881" t="s">
        <v>65</v>
      </c>
      <c r="BC282" s="3880">
        <v>46022</v>
      </c>
      <c r="BD282" s="3881" t="s">
        <v>65</v>
      </c>
      <c r="BE282" s="3878">
        <v>57.81</v>
      </c>
      <c r="BF282" s="3878"/>
      <c r="BG282" s="3879"/>
      <c r="BH282" s="3880">
        <v>46023</v>
      </c>
      <c r="BI282" s="3881" t="s">
        <v>65</v>
      </c>
      <c r="BJ282" s="3880">
        <v>46203</v>
      </c>
      <c r="BK282" s="3881" t="s">
        <v>65</v>
      </c>
      <c r="BL282" s="3878">
        <v>60.12</v>
      </c>
      <c r="BM282" s="3878"/>
      <c r="BN282" s="3879"/>
      <c r="BO282" s="3880">
        <v>46204</v>
      </c>
      <c r="BP282" s="3881" t="s">
        <v>65</v>
      </c>
      <c r="BQ282" s="3880">
        <v>46387</v>
      </c>
      <c r="BR282" s="3881" t="s">
        <v>65</v>
      </c>
      <c r="BS282" s="3878">
        <v>60.12</v>
      </c>
      <c r="BT282" s="3878"/>
      <c r="BU282" s="3879"/>
      <c r="BV282" s="3880">
        <v>46388</v>
      </c>
      <c r="BW282" s="3881" t="s">
        <v>65</v>
      </c>
      <c r="BX282" s="3880">
        <v>46568</v>
      </c>
      <c r="BY282" s="3881" t="s">
        <v>65</v>
      </c>
      <c r="BZ282" s="3878">
        <v>62.52</v>
      </c>
      <c r="CA282" s="3878"/>
      <c r="CB282" s="3879"/>
      <c r="CC282" s="3880">
        <v>46569</v>
      </c>
      <c r="CD282" s="3881" t="s">
        <v>65</v>
      </c>
      <c r="CE282" s="3880">
        <v>46752</v>
      </c>
      <c r="CF282" s="3881" t="s">
        <v>65</v>
      </c>
      <c r="CG282" s="3878">
        <v>62.52</v>
      </c>
      <c r="CH282" s="3878"/>
      <c r="CI282" s="3879"/>
      <c r="CJ282" s="3880">
        <v>46753</v>
      </c>
      <c r="CK282" s="3881" t="s">
        <v>65</v>
      </c>
      <c r="CL282" s="3880">
        <v>46934</v>
      </c>
      <c r="CM282" s="3881" t="s">
        <v>65</v>
      </c>
      <c r="CN282" s="3878">
        <v>65.02</v>
      </c>
      <c r="CO282" s="3878"/>
      <c r="CP282" s="3879"/>
      <c r="CQ282" s="3880">
        <v>46935</v>
      </c>
      <c r="CR282" s="3881" t="s">
        <v>65</v>
      </c>
      <c r="CS282" s="3880">
        <v>47118</v>
      </c>
      <c r="CT282" s="3881" t="s">
        <v>65</v>
      </c>
      <c r="CU282" s="4199"/>
      <c r="CV28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2" s="4093">
        <f>STRCHECKDATE(V283:CU283)</f>
      </c>
      <c r="CX282" s="4196"/>
      <c r="CY282" s="4196" t="str">
        <f>IF(T282="","",T282)</f>
        <v/>
      </c>
      <c r="CZ282" s="4196"/>
      <c r="DA282" s="4196"/>
      <c r="DB282" s="3858">
        <v>0</v>
      </c>
    </row>
    <row s="9709" customFormat="1" customHeight="1" ht="14.25">
      <c r="A283" s="4183"/>
      <c r="B283" s="4183"/>
      <c r="C283" s="4183"/>
      <c r="D283" s="4183"/>
      <c r="E283" s="4184"/>
      <c r="F283" s="4184" t="s">
        <v>155</v>
      </c>
      <c r="G283" s="4184"/>
      <c r="H283" s="4184"/>
      <c r="I283" s="4185"/>
      <c r="J283" s="4185"/>
      <c r="K283" s="4186"/>
      <c r="L283" s="4187"/>
      <c r="M283" s="4188"/>
      <c r="N283" s="4188"/>
      <c r="O283" s="4188"/>
      <c r="P283" s="4189"/>
      <c r="Q283" s="4189"/>
      <c r="R283" s="4191"/>
      <c r="S283" s="4202"/>
      <c r="T283" s="4194"/>
      <c r="U283" s="4194"/>
      <c r="V283" s="3885"/>
      <c r="W283" s="3885"/>
      <c r="X283" s="3886" t="str">
        <f>Y282&amp;"-"&amp;AA282</f>
        <v>-</v>
      </c>
      <c r="Y283" s="3887"/>
      <c r="Z283" s="3881"/>
      <c r="AA283" s="3887"/>
      <c r="AB283" s="3881"/>
      <c r="AC283" s="3885"/>
      <c r="AD283" s="3885"/>
      <c r="AE283" s="3886" t="str">
        <f>AF282&amp;"-"&amp;AH282</f>
        <v>45292-45473</v>
      </c>
      <c r="AF283" s="3887"/>
      <c r="AG283" s="3881"/>
      <c r="AH283" s="4118"/>
      <c r="AI283" s="3881"/>
      <c r="AJ283" s="3885"/>
      <c r="AK283" s="3885"/>
      <c r="AL283" s="3886" t="str">
        <f>AM282&amp;"-"&amp;AO282</f>
        <v>45474-45657</v>
      </c>
      <c r="AM283" s="3887"/>
      <c r="AN283" s="3881"/>
      <c r="AO283" s="3887"/>
      <c r="AP283" s="3881"/>
      <c r="AQ283" s="3885"/>
      <c r="AR283" s="3885"/>
      <c r="AS283" s="3886" t="str">
        <f>AT282&amp;"-"&amp;AV282</f>
        <v>45658-45838</v>
      </c>
      <c r="AT283" s="3887"/>
      <c r="AU283" s="3881"/>
      <c r="AV283" s="3887"/>
      <c r="AW283" s="3881"/>
      <c r="AX283" s="3885"/>
      <c r="AY283" s="3885"/>
      <c r="AZ283" s="3886" t="str">
        <f>BA282&amp;"-"&amp;BC282</f>
        <v>45839-46022</v>
      </c>
      <c r="BA283" s="3887"/>
      <c r="BB283" s="3881"/>
      <c r="BC283" s="3887"/>
      <c r="BD283" s="3881"/>
      <c r="BE283" s="3885"/>
      <c r="BF283" s="3885"/>
      <c r="BG283" s="3886" t="str">
        <f>BH282&amp;"-"&amp;BJ282</f>
        <v>46023-46203</v>
      </c>
      <c r="BH283" s="3887"/>
      <c r="BI283" s="3881"/>
      <c r="BJ283" s="3887"/>
      <c r="BK283" s="3881"/>
      <c r="BL283" s="3885"/>
      <c r="BM283" s="3885"/>
      <c r="BN283" s="3886" t="str">
        <f>BO282&amp;"-"&amp;BQ282</f>
        <v>46204-46387</v>
      </c>
      <c r="BO283" s="3887"/>
      <c r="BP283" s="3881"/>
      <c r="BQ283" s="3887"/>
      <c r="BR283" s="3881"/>
      <c r="BS283" s="3885"/>
      <c r="BT283" s="3885"/>
      <c r="BU283" s="3886" t="str">
        <f>BV282&amp;"-"&amp;BX282</f>
        <v>46388-46568</v>
      </c>
      <c r="BV283" s="3887"/>
      <c r="BW283" s="3881"/>
      <c r="BX283" s="3887"/>
      <c r="BY283" s="3881"/>
      <c r="BZ283" s="3885"/>
      <c r="CA283" s="3885"/>
      <c r="CB283" s="3886" t="str">
        <f>CC282&amp;"-"&amp;CE282</f>
        <v>46569-46752</v>
      </c>
      <c r="CC283" s="3887"/>
      <c r="CD283" s="3881"/>
      <c r="CE283" s="3887"/>
      <c r="CF283" s="3881"/>
      <c r="CG283" s="3885"/>
      <c r="CH283" s="3885"/>
      <c r="CI283" s="3886" t="str">
        <f>CJ282&amp;"-"&amp;CL282</f>
        <v>46753-46934</v>
      </c>
      <c r="CJ283" s="3887"/>
      <c r="CK283" s="3881"/>
      <c r="CL283" s="3887"/>
      <c r="CM283" s="3881"/>
      <c r="CN283" s="3885"/>
      <c r="CO283" s="3885"/>
      <c r="CP283" s="3886" t="str">
        <f>CQ282&amp;"-"&amp;CS282</f>
        <v>46935-47118</v>
      </c>
      <c r="CQ283" s="3887"/>
      <c r="CR283" s="3881"/>
      <c r="CS283" s="3887"/>
      <c r="CT283" s="3881"/>
      <c r="CU283" s="4203"/>
      <c r="CV283" s="4200"/>
      <c r="CW283" s="4093"/>
      <c r="CX283" s="4196"/>
      <c r="CY283" s="4196" t="str">
        <f>IF(T283="","",T283)</f>
        <v/>
      </c>
      <c r="CZ283" s="4196"/>
      <c r="DA283" s="4196"/>
      <c r="DB283" s="3858">
        <v>0</v>
      </c>
    </row>
    <row s="9710" customFormat="1" customHeight="1" ht="21">
      <c r="A284" s="4183"/>
      <c r="B284" s="4183"/>
      <c r="C284" s="4183"/>
      <c r="D284" s="4183"/>
      <c r="E284" s="4184"/>
      <c r="F284" s="4184" t="s">
        <v>155</v>
      </c>
      <c r="G284" s="4184"/>
      <c r="H284" s="4184"/>
      <c r="I284" s="4185"/>
      <c r="J284" s="4186"/>
      <c r="K284" s="4183"/>
      <c r="L284" s="4187"/>
      <c r="M284" s="4188"/>
      <c r="N284" s="4188"/>
      <c r="O284" s="4188"/>
      <c r="P284" s="4189"/>
      <c r="Q284" s="4189"/>
      <c r="R284" s="4205"/>
      <c r="S284" s="9711"/>
      <c r="T284" s="9712" t="s">
        <v>615</v>
      </c>
      <c r="U284" s="9713"/>
      <c r="V284" s="9714"/>
      <c r="W284" s="9715"/>
      <c r="X284" s="9716"/>
      <c r="Y284" s="9717"/>
      <c r="Z284" s="9718"/>
      <c r="AA284" s="9719"/>
      <c r="AB284" s="9720"/>
      <c r="AC284" s="9721"/>
      <c r="AD284" s="9722"/>
      <c r="AE284" s="9723"/>
      <c r="AF284" s="9724"/>
      <c r="AG284" s="9725"/>
      <c r="AH284" s="9726"/>
      <c r="AI284" s="9727"/>
      <c r="AJ284" s="9728"/>
      <c r="AK284" s="9729"/>
      <c r="AL284" s="9730"/>
      <c r="AM284" s="9731"/>
      <c r="AN284" s="9732"/>
      <c r="AO284" s="9733"/>
      <c r="AP284" s="9734"/>
      <c r="AQ284" s="9735"/>
      <c r="AR284" s="9736"/>
      <c r="AS284" s="9737"/>
      <c r="AT284" s="9738"/>
      <c r="AU284" s="9739"/>
      <c r="AV284" s="9740"/>
      <c r="AW284" s="9741"/>
      <c r="AX284" s="9742"/>
      <c r="AY284" s="9743"/>
      <c r="AZ284" s="9744"/>
      <c r="BA284" s="9745"/>
      <c r="BB284" s="9746"/>
      <c r="BC284" s="9747"/>
      <c r="BD284" s="9748"/>
      <c r="BE284" s="9749"/>
      <c r="BF284" s="9750"/>
      <c r="BG284" s="9751"/>
      <c r="BH284" s="9752"/>
      <c r="BI284" s="9753"/>
      <c r="BJ284" s="9754"/>
      <c r="BK284" s="9755"/>
      <c r="BL284" s="9756"/>
      <c r="BM284" s="9757"/>
      <c r="BN284" s="9758"/>
      <c r="BO284" s="9759"/>
      <c r="BP284" s="9760"/>
      <c r="BQ284" s="9761"/>
      <c r="BR284" s="9762"/>
      <c r="BS284" s="9763"/>
      <c r="BT284" s="9764"/>
      <c r="BU284" s="9765"/>
      <c r="BV284" s="9766"/>
      <c r="BW284" s="9767"/>
      <c r="BX284" s="9768"/>
      <c r="BY284" s="9769"/>
      <c r="BZ284" s="9770"/>
      <c r="CA284" s="9771"/>
      <c r="CB284" s="9772"/>
      <c r="CC284" s="9773"/>
      <c r="CD284" s="9774"/>
      <c r="CE284" s="9775"/>
      <c r="CF284" s="9776"/>
      <c r="CG284" s="9777"/>
      <c r="CH284" s="9778"/>
      <c r="CI284" s="9779"/>
      <c r="CJ284" s="9780"/>
      <c r="CK284" s="9781"/>
      <c r="CL284" s="9782"/>
      <c r="CM284" s="9783"/>
      <c r="CN284" s="9784"/>
      <c r="CO284" s="9785"/>
      <c r="CP284" s="9786"/>
      <c r="CQ284" s="9787"/>
      <c r="CR284" s="9788"/>
      <c r="CS284" s="9789"/>
      <c r="CT284" s="9790"/>
      <c r="CU284" s="9791"/>
      <c r="CV284" s="4287" t="s">
        <v>616</v>
      </c>
      <c r="CW284" s="4093"/>
      <c r="CX284" s="4196"/>
      <c r="CY284" s="4196" t="str">
        <f>IF(T284="","",T284)</f>
        <v>Добавить значение признака дифференциации</v>
      </c>
      <c r="CZ284" s="4196"/>
      <c r="DA284" s="4196"/>
      <c r="DB284" s="3858">
        <v>0</v>
      </c>
    </row>
    <row s="9792" customFormat="1" customHeight="1" ht="23.25">
      <c r="A285" s="4183"/>
      <c r="B285" s="4183"/>
      <c r="C285" s="4183"/>
      <c r="D285" s="4183"/>
      <c r="E285" s="4184"/>
      <c r="F285" s="4184"/>
      <c r="G285" s="4184"/>
      <c r="H285" s="4184"/>
      <c r="I285" s="4185"/>
      <c r="J285" s="4186" t="str">
        <f>I280&amp;".2"</f>
        <v>1.13.1.1.2</v>
      </c>
      <c r="K285" s="4183"/>
      <c r="L285" s="4187" t="s">
        <v>538</v>
      </c>
      <c r="M285" s="4188"/>
      <c r="N285" s="4188"/>
      <c r="O285" s="4188"/>
      <c r="P285" s="4189"/>
      <c r="Q285" s="4190" t="s">
        <v>109</v>
      </c>
      <c r="R285" s="4191"/>
      <c r="S285" s="4192" t="str">
        <f>$J285</f>
        <v>1.13.1.1.2</v>
      </c>
      <c r="T285" s="4193" t="s">
        <v>539</v>
      </c>
      <c r="U285" s="4194"/>
      <c r="V285" s="3874"/>
      <c r="W285" s="3875"/>
      <c r="X285" s="3875"/>
      <c r="Y285" s="3875"/>
      <c r="Z285" s="3875"/>
      <c r="AA285" s="3875"/>
      <c r="AB285" s="3876"/>
      <c r="AC285" s="3874" t="s">
        <v>626</v>
      </c>
      <c r="AD285" s="3875"/>
      <c r="AE285" s="3875"/>
      <c r="AF285" s="3875"/>
      <c r="AG285" s="3875"/>
      <c r="AH285" s="3875"/>
      <c r="AI285" s="3875"/>
      <c r="AJ285" s="3874"/>
      <c r="AK285" s="3875"/>
      <c r="AL285" s="3875"/>
      <c r="AM285" s="3875"/>
      <c r="AN285" s="3875"/>
      <c r="AO285" s="3875"/>
      <c r="AP285" s="3876"/>
      <c r="AQ285" s="3874"/>
      <c r="AR285" s="3875"/>
      <c r="AS285" s="3875"/>
      <c r="AT285" s="3875"/>
      <c r="AU285" s="3875"/>
      <c r="AV285" s="3875"/>
      <c r="AW285" s="3876"/>
      <c r="AX285" s="3874"/>
      <c r="AY285" s="3875"/>
      <c r="AZ285" s="3875"/>
      <c r="BA285" s="3875"/>
      <c r="BB285" s="3875"/>
      <c r="BC285" s="3875"/>
      <c r="BD285" s="3876"/>
      <c r="BE285" s="3874"/>
      <c r="BF285" s="3875"/>
      <c r="BG285" s="3875"/>
      <c r="BH285" s="3875"/>
      <c r="BI285" s="3875"/>
      <c r="BJ285" s="3875"/>
      <c r="BK285" s="3876"/>
      <c r="BL285" s="3874"/>
      <c r="BM285" s="3875"/>
      <c r="BN285" s="3875"/>
      <c r="BO285" s="3875"/>
      <c r="BP285" s="3875"/>
      <c r="BQ285" s="3875"/>
      <c r="BR285" s="3876"/>
      <c r="BS285" s="3874"/>
      <c r="BT285" s="3875"/>
      <c r="BU285" s="3875"/>
      <c r="BV285" s="3875"/>
      <c r="BW285" s="3875"/>
      <c r="BX285" s="3875"/>
      <c r="BY285" s="3876"/>
      <c r="BZ285" s="3874"/>
      <c r="CA285" s="3875"/>
      <c r="CB285" s="3875"/>
      <c r="CC285" s="3875"/>
      <c r="CD285" s="3875"/>
      <c r="CE285" s="3875"/>
      <c r="CF285" s="3876"/>
      <c r="CG285" s="3874"/>
      <c r="CH285" s="3875"/>
      <c r="CI285" s="3875"/>
      <c r="CJ285" s="3875"/>
      <c r="CK285" s="3875"/>
      <c r="CL285" s="3875"/>
      <c r="CM285" s="3876"/>
      <c r="CN285" s="3874"/>
      <c r="CO285" s="3875"/>
      <c r="CP285" s="3875"/>
      <c r="CQ285" s="3875"/>
      <c r="CR285" s="3875"/>
      <c r="CS285" s="3875"/>
      <c r="CT285" s="3876"/>
      <c r="CU285" s="3876"/>
      <c r="CV285" s="4195" t="s">
        <v>614</v>
      </c>
      <c r="CW285" s="4093"/>
      <c r="CX285" s="4196"/>
      <c r="CY285" s="4196" t="str">
        <f>IF(T285="","",T285)</f>
        <v>Группа потребителей</v>
      </c>
      <c r="CZ285" s="4196"/>
      <c r="DA285" s="4196"/>
      <c r="DB285" s="3858">
        <v>0</v>
      </c>
    </row>
    <row s="9793" customFormat="1" customHeight="1" ht="23.25">
      <c r="A286" s="4183"/>
      <c r="B286" s="4183"/>
      <c r="C286" s="4183"/>
      <c r="D286" s="4183"/>
      <c r="E286" s="4184"/>
      <c r="F286" s="4184"/>
      <c r="G286" s="4184"/>
      <c r="H286" s="4184"/>
      <c r="I286" s="4185"/>
      <c r="J286" s="4185" t="str">
        <f>I280&amp;".1"</f>
        <v>1.13.1.1.1</v>
      </c>
      <c r="K286" s="4186" t="str">
        <f>J285&amp;".1"</f>
        <v>1.13.1.1.2.1</v>
      </c>
      <c r="L286" s="4187"/>
      <c r="M286" s="4188"/>
      <c r="N286" s="4188"/>
      <c r="O286" s="4188"/>
      <c r="P286" s="4189"/>
      <c r="Q286" s="4189"/>
      <c r="R286" s="4191">
        <v>1</v>
      </c>
      <c r="S286" s="4192" t="str">
        <f>$K286</f>
        <v>1.13.1.1.2.1</v>
      </c>
      <c r="T286" s="4198"/>
      <c r="U286" s="4194"/>
      <c r="V286" s="3878"/>
      <c r="W286" s="3878"/>
      <c r="X286" s="3879"/>
      <c r="Y286" s="3880"/>
      <c r="Z286" s="3881" t="s">
        <v>65</v>
      </c>
      <c r="AA286" s="3880"/>
      <c r="AB286" s="3881" t="s">
        <v>65</v>
      </c>
      <c r="AC286" s="3878">
        <v>51.99</v>
      </c>
      <c r="AD286" s="3878"/>
      <c r="AE286" s="3879"/>
      <c r="AF286" s="3880">
        <v>45292</v>
      </c>
      <c r="AG286" s="3881" t="s">
        <v>65</v>
      </c>
      <c r="AH286" s="4116">
        <v>45473</v>
      </c>
      <c r="AI286" s="3881" t="s">
        <v>65</v>
      </c>
      <c r="AJ286" s="3878">
        <v>54.69</v>
      </c>
      <c r="AK286" s="3878"/>
      <c r="AL286" s="3879"/>
      <c r="AM286" s="3880">
        <v>45474</v>
      </c>
      <c r="AN286" s="3881" t="s">
        <v>65</v>
      </c>
      <c r="AO286" s="3880">
        <v>45657</v>
      </c>
      <c r="AP286" s="3881" t="s">
        <v>65</v>
      </c>
      <c r="AQ286" s="3878">
        <v>54.69</v>
      </c>
      <c r="AR286" s="3878"/>
      <c r="AS286" s="3879"/>
      <c r="AT286" s="3880">
        <v>45658</v>
      </c>
      <c r="AU286" s="3881" t="s">
        <v>65</v>
      </c>
      <c r="AV286" s="3880">
        <v>45838</v>
      </c>
      <c r="AW286" s="3881" t="s">
        <v>65</v>
      </c>
      <c r="AX286" s="3878">
        <v>57.43</v>
      </c>
      <c r="AY286" s="3878"/>
      <c r="AZ286" s="3879"/>
      <c r="BA286" s="3880">
        <v>45839</v>
      </c>
      <c r="BB286" s="3881" t="s">
        <v>65</v>
      </c>
      <c r="BC286" s="3880">
        <v>46022</v>
      </c>
      <c r="BD286" s="3881" t="s">
        <v>65</v>
      </c>
      <c r="BE286" s="3878">
        <v>62.55</v>
      </c>
      <c r="BF286" s="3878"/>
      <c r="BG286" s="3879"/>
      <c r="BH286" s="3880">
        <v>46023</v>
      </c>
      <c r="BI286" s="3881" t="s">
        <v>65</v>
      </c>
      <c r="BJ286" s="3880">
        <v>46203</v>
      </c>
      <c r="BK286" s="3881" t="s">
        <v>65</v>
      </c>
      <c r="BL286" s="3878">
        <v>68.84</v>
      </c>
      <c r="BM286" s="3878"/>
      <c r="BN286" s="3879"/>
      <c r="BO286" s="3880">
        <v>46204</v>
      </c>
      <c r="BP286" s="3881" t="s">
        <v>65</v>
      </c>
      <c r="BQ286" s="3880">
        <v>46387</v>
      </c>
      <c r="BR286" s="3881" t="s">
        <v>65</v>
      </c>
      <c r="BS286" s="3878">
        <v>68.84</v>
      </c>
      <c r="BT286" s="3878"/>
      <c r="BU286" s="3879"/>
      <c r="BV286" s="3880">
        <v>46388</v>
      </c>
      <c r="BW286" s="3881" t="s">
        <v>65</v>
      </c>
      <c r="BX286" s="3880">
        <v>46568</v>
      </c>
      <c r="BY286" s="3881" t="s">
        <v>65</v>
      </c>
      <c r="BZ286" s="3878">
        <v>74.46</v>
      </c>
      <c r="CA286" s="3878"/>
      <c r="CB286" s="3879"/>
      <c r="CC286" s="3880">
        <v>46569</v>
      </c>
      <c r="CD286" s="3881" t="s">
        <v>65</v>
      </c>
      <c r="CE286" s="3880">
        <v>46752</v>
      </c>
      <c r="CF286" s="3881" t="s">
        <v>65</v>
      </c>
      <c r="CG286" s="3878">
        <v>74.46</v>
      </c>
      <c r="CH286" s="3878"/>
      <c r="CI286" s="3879"/>
      <c r="CJ286" s="3880">
        <v>46753</v>
      </c>
      <c r="CK286" s="3881" t="s">
        <v>65</v>
      </c>
      <c r="CL286" s="3880">
        <v>46934</v>
      </c>
      <c r="CM286" s="3881" t="s">
        <v>65</v>
      </c>
      <c r="CN286" s="3878">
        <v>81.66</v>
      </c>
      <c r="CO286" s="3878"/>
      <c r="CP286" s="3879"/>
      <c r="CQ286" s="3880">
        <v>46935</v>
      </c>
      <c r="CR286" s="3881" t="s">
        <v>65</v>
      </c>
      <c r="CS286" s="3880">
        <v>47118</v>
      </c>
      <c r="CT286" s="3881" t="s">
        <v>65</v>
      </c>
      <c r="CU286" s="4199"/>
      <c r="CV28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86" s="4093">
        <f>STRCHECKDATE(V287:CU287)</f>
      </c>
      <c r="CX286" s="4196"/>
      <c r="CY286" s="4196" t="str">
        <f>IF(T286="","",T286)</f>
        <v/>
      </c>
      <c r="CZ286" s="4196"/>
      <c r="DA286" s="4196"/>
      <c r="DB286" s="3858">
        <v>0</v>
      </c>
    </row>
    <row s="9794" customFormat="1" customHeight="1" ht="14.25">
      <c r="A287" s="4183"/>
      <c r="B287" s="4183"/>
      <c r="C287" s="4183"/>
      <c r="D287" s="4183"/>
      <c r="E287" s="4184"/>
      <c r="F287" s="4184"/>
      <c r="G287" s="4184"/>
      <c r="H287" s="4184"/>
      <c r="I287" s="4185"/>
      <c r="J287" s="4185" t="str">
        <f>I280&amp;".1"</f>
        <v>1.13.1.1.1</v>
      </c>
      <c r="K287" s="4186"/>
      <c r="L287" s="4187"/>
      <c r="M287" s="4188"/>
      <c r="N287" s="4188"/>
      <c r="O287" s="4188"/>
      <c r="P287" s="4189"/>
      <c r="Q287" s="4189"/>
      <c r="R287" s="4191"/>
      <c r="S287" s="4202"/>
      <c r="T287" s="4194"/>
      <c r="U287" s="4194"/>
      <c r="V287" s="3885"/>
      <c r="W287" s="3885"/>
      <c r="X287" s="3886" t="str">
        <f>Y286&amp;"-"&amp;AA286</f>
        <v>-</v>
      </c>
      <c r="Y287" s="3887"/>
      <c r="Z287" s="3881"/>
      <c r="AA287" s="3887"/>
      <c r="AB287" s="3881"/>
      <c r="AC287" s="3885"/>
      <c r="AD287" s="3885"/>
      <c r="AE287" s="3886" t="str">
        <f>AF286&amp;"-"&amp;AH286</f>
        <v>45292-45473</v>
      </c>
      <c r="AF287" s="3887"/>
      <c r="AG287" s="3881"/>
      <c r="AH287" s="4118"/>
      <c r="AI287" s="3881"/>
      <c r="AJ287" s="3885"/>
      <c r="AK287" s="3885"/>
      <c r="AL287" s="3886" t="str">
        <f>AM286&amp;"-"&amp;AO286</f>
        <v>45474-45657</v>
      </c>
      <c r="AM287" s="3887"/>
      <c r="AN287" s="3881"/>
      <c r="AO287" s="3887"/>
      <c r="AP287" s="3881"/>
      <c r="AQ287" s="3885"/>
      <c r="AR287" s="3885"/>
      <c r="AS287" s="3886" t="str">
        <f>AT286&amp;"-"&amp;AV286</f>
        <v>45658-45838</v>
      </c>
      <c r="AT287" s="3887"/>
      <c r="AU287" s="3881"/>
      <c r="AV287" s="3887"/>
      <c r="AW287" s="3881"/>
      <c r="AX287" s="3885"/>
      <c r="AY287" s="3885"/>
      <c r="AZ287" s="3886" t="str">
        <f>BA286&amp;"-"&amp;BC286</f>
        <v>45839-46022</v>
      </c>
      <c r="BA287" s="3887"/>
      <c r="BB287" s="3881"/>
      <c r="BC287" s="3887"/>
      <c r="BD287" s="3881"/>
      <c r="BE287" s="3885"/>
      <c r="BF287" s="3885"/>
      <c r="BG287" s="3886" t="str">
        <f>BH286&amp;"-"&amp;BJ286</f>
        <v>46023-46203</v>
      </c>
      <c r="BH287" s="3887"/>
      <c r="BI287" s="3881"/>
      <c r="BJ287" s="3887"/>
      <c r="BK287" s="3881"/>
      <c r="BL287" s="3885"/>
      <c r="BM287" s="3885"/>
      <c r="BN287" s="3886" t="str">
        <f>BO286&amp;"-"&amp;BQ286</f>
        <v>46204-46387</v>
      </c>
      <c r="BO287" s="3887"/>
      <c r="BP287" s="3881"/>
      <c r="BQ287" s="3887"/>
      <c r="BR287" s="3881"/>
      <c r="BS287" s="3885"/>
      <c r="BT287" s="3885"/>
      <c r="BU287" s="3886" t="str">
        <f>BV286&amp;"-"&amp;BX286</f>
        <v>46388-46568</v>
      </c>
      <c r="BV287" s="3887"/>
      <c r="BW287" s="3881"/>
      <c r="BX287" s="3887"/>
      <c r="BY287" s="3881"/>
      <c r="BZ287" s="3885"/>
      <c r="CA287" s="3885"/>
      <c r="CB287" s="3886" t="str">
        <f>CC286&amp;"-"&amp;CE286</f>
        <v>46569-46752</v>
      </c>
      <c r="CC287" s="3887"/>
      <c r="CD287" s="3881"/>
      <c r="CE287" s="3887"/>
      <c r="CF287" s="3881"/>
      <c r="CG287" s="3885"/>
      <c r="CH287" s="3885"/>
      <c r="CI287" s="3886" t="str">
        <f>CJ286&amp;"-"&amp;CL286</f>
        <v>46753-46934</v>
      </c>
      <c r="CJ287" s="3887"/>
      <c r="CK287" s="3881"/>
      <c r="CL287" s="3887"/>
      <c r="CM287" s="3881"/>
      <c r="CN287" s="3885"/>
      <c r="CO287" s="3885"/>
      <c r="CP287" s="3886" t="str">
        <f>CQ286&amp;"-"&amp;CS286</f>
        <v>46935-47118</v>
      </c>
      <c r="CQ287" s="3887"/>
      <c r="CR287" s="3881"/>
      <c r="CS287" s="3887"/>
      <c r="CT287" s="3881"/>
      <c r="CU287" s="4203"/>
      <c r="CV287" s="4200"/>
      <c r="CW287" s="4093"/>
      <c r="CX287" s="4196"/>
      <c r="CY287" s="4196" t="str">
        <f>IF(T287="","",T287)</f>
        <v/>
      </c>
      <c r="CZ287" s="4196"/>
      <c r="DA287" s="4196"/>
      <c r="DB287" s="3858">
        <v>0</v>
      </c>
    </row>
    <row s="9795" customFormat="1" customHeight="1" ht="21">
      <c r="A288" s="4183"/>
      <c r="B288" s="4183"/>
      <c r="C288" s="4183"/>
      <c r="D288" s="4183"/>
      <c r="E288" s="4184"/>
      <c r="F288" s="4184"/>
      <c r="G288" s="4184"/>
      <c r="H288" s="4184"/>
      <c r="I288" s="4185"/>
      <c r="J288" s="4186" t="str">
        <f>I280&amp;".1"</f>
        <v>1.13.1.1.1</v>
      </c>
      <c r="K288" s="4183"/>
      <c r="L288" s="4187"/>
      <c r="M288" s="4188"/>
      <c r="N288" s="4188"/>
      <c r="O288" s="4188"/>
      <c r="P288" s="4189"/>
      <c r="Q288" s="4189"/>
      <c r="R288" s="4205"/>
      <c r="S288" s="9796"/>
      <c r="T288" s="9797" t="s">
        <v>615</v>
      </c>
      <c r="U288" s="9798"/>
      <c r="V288" s="9799"/>
      <c r="W288" s="9800"/>
      <c r="X288" s="9801"/>
      <c r="Y288" s="9802"/>
      <c r="Z288" s="9803"/>
      <c r="AA288" s="9804"/>
      <c r="AB288" s="9805"/>
      <c r="AC288" s="9806"/>
      <c r="AD288" s="9807"/>
      <c r="AE288" s="9808"/>
      <c r="AF288" s="9809"/>
      <c r="AG288" s="9810"/>
      <c r="AH288" s="9811"/>
      <c r="AI288" s="9812"/>
      <c r="AJ288" s="9813"/>
      <c r="AK288" s="9814"/>
      <c r="AL288" s="9815"/>
      <c r="AM288" s="9816"/>
      <c r="AN288" s="9817"/>
      <c r="AO288" s="9818"/>
      <c r="AP288" s="9819"/>
      <c r="AQ288" s="9820"/>
      <c r="AR288" s="9821"/>
      <c r="AS288" s="9822"/>
      <c r="AT288" s="9823"/>
      <c r="AU288" s="9824"/>
      <c r="AV288" s="9825"/>
      <c r="AW288" s="9826"/>
      <c r="AX288" s="9827"/>
      <c r="AY288" s="9828"/>
      <c r="AZ288" s="9829"/>
      <c r="BA288" s="9830"/>
      <c r="BB288" s="9831"/>
      <c r="BC288" s="9832"/>
      <c r="BD288" s="9833"/>
      <c r="BE288" s="9834"/>
      <c r="BF288" s="9835"/>
      <c r="BG288" s="9836"/>
      <c r="BH288" s="9837"/>
      <c r="BI288" s="9838"/>
      <c r="BJ288" s="9839"/>
      <c r="BK288" s="9840"/>
      <c r="BL288" s="9841"/>
      <c r="BM288" s="9842"/>
      <c r="BN288" s="9843"/>
      <c r="BO288" s="9844"/>
      <c r="BP288" s="9845"/>
      <c r="BQ288" s="9846"/>
      <c r="BR288" s="9847"/>
      <c r="BS288" s="9848"/>
      <c r="BT288" s="9849"/>
      <c r="BU288" s="9850"/>
      <c r="BV288" s="9851"/>
      <c r="BW288" s="9852"/>
      <c r="BX288" s="9853"/>
      <c r="BY288" s="9854"/>
      <c r="BZ288" s="9855"/>
      <c r="CA288" s="9856"/>
      <c r="CB288" s="9857"/>
      <c r="CC288" s="9858"/>
      <c r="CD288" s="9859"/>
      <c r="CE288" s="9860"/>
      <c r="CF288" s="9861"/>
      <c r="CG288" s="9862"/>
      <c r="CH288" s="9863"/>
      <c r="CI288" s="9864"/>
      <c r="CJ288" s="9865"/>
      <c r="CK288" s="9866"/>
      <c r="CL288" s="9867"/>
      <c r="CM288" s="9868"/>
      <c r="CN288" s="9869"/>
      <c r="CO288" s="9870"/>
      <c r="CP288" s="9871"/>
      <c r="CQ288" s="9872"/>
      <c r="CR288" s="9873"/>
      <c r="CS288" s="9874"/>
      <c r="CT288" s="9875"/>
      <c r="CU288" s="9876"/>
      <c r="CV288" s="4287" t="s">
        <v>616</v>
      </c>
      <c r="CW288" s="4093"/>
      <c r="CX288" s="4196"/>
      <c r="CY288" s="4196" t="str">
        <f>IF(T288="","",T288)</f>
        <v>Добавить значение признака дифференциации</v>
      </c>
      <c r="CZ288" s="4196"/>
      <c r="DA288" s="4196"/>
      <c r="DB288" s="3858">
        <v>0</v>
      </c>
    </row>
    <row s="9877" customFormat="1" customHeight="1" ht="23.25">
      <c r="A289" s="4183"/>
      <c r="B289" s="4183"/>
      <c r="C289" s="4183"/>
      <c r="D289" s="4183"/>
      <c r="E289" s="4184"/>
      <c r="F289" s="4184"/>
      <c r="G289" s="4184"/>
      <c r="H289" s="4184"/>
      <c r="I289" s="4185"/>
      <c r="J289" s="4186" t="str">
        <f>I280&amp;".3"</f>
        <v>1.13.1.1.3</v>
      </c>
      <c r="K289" s="4183"/>
      <c r="L289" s="4187" t="s">
        <v>538</v>
      </c>
      <c r="M289" s="4188"/>
      <c r="N289" s="4188"/>
      <c r="O289" s="4188"/>
      <c r="P289" s="4189"/>
      <c r="Q289" s="4190" t="s">
        <v>109</v>
      </c>
      <c r="R289" s="4191"/>
      <c r="S289" s="4192" t="str">
        <f>$J289</f>
        <v>1.13.1.1.3</v>
      </c>
      <c r="T289" s="4193" t="s">
        <v>539</v>
      </c>
      <c r="U289" s="4194"/>
      <c r="V289" s="3874"/>
      <c r="W289" s="3875"/>
      <c r="X289" s="3875"/>
      <c r="Y289" s="3875"/>
      <c r="Z289" s="3875"/>
      <c r="AA289" s="3875"/>
      <c r="AB289" s="3876"/>
      <c r="AC289" s="3874" t="s">
        <v>627</v>
      </c>
      <c r="AD289" s="3875"/>
      <c r="AE289" s="3875"/>
      <c r="AF289" s="3875"/>
      <c r="AG289" s="3875"/>
      <c r="AH289" s="3875"/>
      <c r="AI289" s="3875"/>
      <c r="AJ289" s="3874"/>
      <c r="AK289" s="3875"/>
      <c r="AL289" s="3875"/>
      <c r="AM289" s="3875"/>
      <c r="AN289" s="3875"/>
      <c r="AO289" s="3875"/>
      <c r="AP289" s="3876"/>
      <c r="AQ289" s="3874"/>
      <c r="AR289" s="3875"/>
      <c r="AS289" s="3875"/>
      <c r="AT289" s="3875"/>
      <c r="AU289" s="3875"/>
      <c r="AV289" s="3875"/>
      <c r="AW289" s="3876"/>
      <c r="AX289" s="3874"/>
      <c r="AY289" s="3875"/>
      <c r="AZ289" s="3875"/>
      <c r="BA289" s="3875"/>
      <c r="BB289" s="3875"/>
      <c r="BC289" s="3875"/>
      <c r="BD289" s="3876"/>
      <c r="BE289" s="3874"/>
      <c r="BF289" s="3875"/>
      <c r="BG289" s="3875"/>
      <c r="BH289" s="3875"/>
      <c r="BI289" s="3875"/>
      <c r="BJ289" s="3875"/>
      <c r="BK289" s="3876"/>
      <c r="BL289" s="3874"/>
      <c r="BM289" s="3875"/>
      <c r="BN289" s="3875"/>
      <c r="BO289" s="3875"/>
      <c r="BP289" s="3875"/>
      <c r="BQ289" s="3875"/>
      <c r="BR289" s="3876"/>
      <c r="BS289" s="3874"/>
      <c r="BT289" s="3875"/>
      <c r="BU289" s="3875"/>
      <c r="BV289" s="3875"/>
      <c r="BW289" s="3875"/>
      <c r="BX289" s="3875"/>
      <c r="BY289" s="3876"/>
      <c r="BZ289" s="3874"/>
      <c r="CA289" s="3875"/>
      <c r="CB289" s="3875"/>
      <c r="CC289" s="3875"/>
      <c r="CD289" s="3875"/>
      <c r="CE289" s="3875"/>
      <c r="CF289" s="3876"/>
      <c r="CG289" s="3874"/>
      <c r="CH289" s="3875"/>
      <c r="CI289" s="3875"/>
      <c r="CJ289" s="3875"/>
      <c r="CK289" s="3875"/>
      <c r="CL289" s="3875"/>
      <c r="CM289" s="3876"/>
      <c r="CN289" s="3874"/>
      <c r="CO289" s="3875"/>
      <c r="CP289" s="3875"/>
      <c r="CQ289" s="3875"/>
      <c r="CR289" s="3875"/>
      <c r="CS289" s="3875"/>
      <c r="CT289" s="3876"/>
      <c r="CU289" s="3876"/>
      <c r="CV289" s="4195" t="s">
        <v>614</v>
      </c>
      <c r="CW289" s="4093"/>
      <c r="CX289" s="4196"/>
      <c r="CY289" s="4196" t="str">
        <f>IF(T289="","",T289)</f>
        <v>Группа потребителей</v>
      </c>
      <c r="CZ289" s="4196"/>
      <c r="DA289" s="4196"/>
      <c r="DB289" s="3858">
        <v>0</v>
      </c>
    </row>
    <row s="9878" customFormat="1" customHeight="1" ht="23.25">
      <c r="A290" s="4183"/>
      <c r="B290" s="4183"/>
      <c r="C290" s="4183"/>
      <c r="D290" s="4183"/>
      <c r="E290" s="4184"/>
      <c r="F290" s="4184"/>
      <c r="G290" s="4184"/>
      <c r="H290" s="4184"/>
      <c r="I290" s="4185"/>
      <c r="J290" s="4185" t="str">
        <f>I280&amp;".2"</f>
        <v>1.13.1.1.2</v>
      </c>
      <c r="K290" s="4186" t="str">
        <f>J289&amp;".1"</f>
        <v>1.13.1.1.3.1</v>
      </c>
      <c r="L290" s="4187"/>
      <c r="M290" s="4188"/>
      <c r="N290" s="4188"/>
      <c r="O290" s="4188"/>
      <c r="P290" s="4189"/>
      <c r="Q290" s="4189"/>
      <c r="R290" s="4191">
        <v>1</v>
      </c>
      <c r="S290" s="4192" t="str">
        <f>$K290</f>
        <v>1.13.1.1.3.1</v>
      </c>
      <c r="T290" s="4198"/>
      <c r="U290" s="4194"/>
      <c r="V290" s="3878"/>
      <c r="W290" s="3878"/>
      <c r="X290" s="3879"/>
      <c r="Y290" s="3880"/>
      <c r="Z290" s="3881" t="s">
        <v>65</v>
      </c>
      <c r="AA290" s="3880"/>
      <c r="AB290" s="3881" t="s">
        <v>65</v>
      </c>
      <c r="AC290" s="3878">
        <v>51.99</v>
      </c>
      <c r="AD290" s="3878"/>
      <c r="AE290" s="3879"/>
      <c r="AF290" s="3880">
        <v>45292</v>
      </c>
      <c r="AG290" s="3881" t="s">
        <v>65</v>
      </c>
      <c r="AH290" s="4116">
        <v>45473</v>
      </c>
      <c r="AI290" s="3881" t="s">
        <v>65</v>
      </c>
      <c r="AJ290" s="3878">
        <v>54.69</v>
      </c>
      <c r="AK290" s="3878"/>
      <c r="AL290" s="3879"/>
      <c r="AM290" s="3880">
        <v>45474</v>
      </c>
      <c r="AN290" s="3881" t="s">
        <v>65</v>
      </c>
      <c r="AO290" s="3880">
        <v>45657</v>
      </c>
      <c r="AP290" s="3881" t="s">
        <v>65</v>
      </c>
      <c r="AQ290" s="3878">
        <v>54.69</v>
      </c>
      <c r="AR290" s="3878"/>
      <c r="AS290" s="3879"/>
      <c r="AT290" s="3880">
        <v>45658</v>
      </c>
      <c r="AU290" s="3881" t="s">
        <v>65</v>
      </c>
      <c r="AV290" s="3880">
        <v>45838</v>
      </c>
      <c r="AW290" s="3881" t="s">
        <v>65</v>
      </c>
      <c r="AX290" s="3878">
        <v>57.43</v>
      </c>
      <c r="AY290" s="3878"/>
      <c r="AZ290" s="3879"/>
      <c r="BA290" s="3880">
        <v>45839</v>
      </c>
      <c r="BB290" s="3881" t="s">
        <v>65</v>
      </c>
      <c r="BC290" s="3880">
        <v>46022</v>
      </c>
      <c r="BD290" s="3881" t="s">
        <v>65</v>
      </c>
      <c r="BE290" s="3878">
        <v>62.55</v>
      </c>
      <c r="BF290" s="3878"/>
      <c r="BG290" s="3879"/>
      <c r="BH290" s="3880">
        <v>46023</v>
      </c>
      <c r="BI290" s="3881" t="s">
        <v>65</v>
      </c>
      <c r="BJ290" s="3880">
        <v>46203</v>
      </c>
      <c r="BK290" s="3881" t="s">
        <v>65</v>
      </c>
      <c r="BL290" s="3878">
        <v>68.84</v>
      </c>
      <c r="BM290" s="3878"/>
      <c r="BN290" s="3879"/>
      <c r="BO290" s="3880">
        <v>46204</v>
      </c>
      <c r="BP290" s="3881" t="s">
        <v>65</v>
      </c>
      <c r="BQ290" s="3880">
        <v>46387</v>
      </c>
      <c r="BR290" s="3881" t="s">
        <v>65</v>
      </c>
      <c r="BS290" s="3878">
        <v>68.84</v>
      </c>
      <c r="BT290" s="3878"/>
      <c r="BU290" s="3879"/>
      <c r="BV290" s="3880">
        <v>46388</v>
      </c>
      <c r="BW290" s="3881" t="s">
        <v>65</v>
      </c>
      <c r="BX290" s="3880">
        <v>46568</v>
      </c>
      <c r="BY290" s="3881" t="s">
        <v>65</v>
      </c>
      <c r="BZ290" s="3878">
        <v>74.46</v>
      </c>
      <c r="CA290" s="3878"/>
      <c r="CB290" s="3879"/>
      <c r="CC290" s="3880">
        <v>46569</v>
      </c>
      <c r="CD290" s="3881" t="s">
        <v>65</v>
      </c>
      <c r="CE290" s="3880">
        <v>46752</v>
      </c>
      <c r="CF290" s="3881" t="s">
        <v>65</v>
      </c>
      <c r="CG290" s="3878">
        <v>74.46</v>
      </c>
      <c r="CH290" s="3878"/>
      <c r="CI290" s="3879"/>
      <c r="CJ290" s="3880">
        <v>46753</v>
      </c>
      <c r="CK290" s="3881" t="s">
        <v>65</v>
      </c>
      <c r="CL290" s="3880">
        <v>46934</v>
      </c>
      <c r="CM290" s="3881" t="s">
        <v>65</v>
      </c>
      <c r="CN290" s="3878">
        <v>81.66</v>
      </c>
      <c r="CO290" s="3878"/>
      <c r="CP290" s="3879"/>
      <c r="CQ290" s="3880">
        <v>46935</v>
      </c>
      <c r="CR290" s="3881" t="s">
        <v>65</v>
      </c>
      <c r="CS290" s="3880">
        <v>47118</v>
      </c>
      <c r="CT290" s="3881" t="s">
        <v>65</v>
      </c>
      <c r="CU290" s="4199"/>
      <c r="CV29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290" s="4093">
        <f>STRCHECKDATE(V291:CU291)</f>
      </c>
      <c r="CX290" s="4196"/>
      <c r="CY290" s="4196" t="str">
        <f>IF(T290="","",T290)</f>
        <v/>
      </c>
      <c r="CZ290" s="4196"/>
      <c r="DA290" s="4196"/>
      <c r="DB290" s="3858">
        <v>0</v>
      </c>
    </row>
    <row s="9879" customFormat="1" customHeight="1" ht="14.25">
      <c r="A291" s="4183"/>
      <c r="B291" s="4183"/>
      <c r="C291" s="4183"/>
      <c r="D291" s="4183"/>
      <c r="E291" s="4184"/>
      <c r="F291" s="4184"/>
      <c r="G291" s="4184"/>
      <c r="H291" s="4184"/>
      <c r="I291" s="4185"/>
      <c r="J291" s="4185" t="str">
        <f>I280&amp;".2"</f>
        <v>1.13.1.1.2</v>
      </c>
      <c r="K291" s="4186"/>
      <c r="L291" s="4187"/>
      <c r="M291" s="4188"/>
      <c r="N291" s="4188"/>
      <c r="O291" s="4188"/>
      <c r="P291" s="4189"/>
      <c r="Q291" s="4189"/>
      <c r="R291" s="4191"/>
      <c r="S291" s="4202"/>
      <c r="T291" s="4194"/>
      <c r="U291" s="4194"/>
      <c r="V291" s="3885"/>
      <c r="W291" s="3885"/>
      <c r="X291" s="3886" t="str">
        <f>Y290&amp;"-"&amp;AA290</f>
        <v>-</v>
      </c>
      <c r="Y291" s="3887"/>
      <c r="Z291" s="3881"/>
      <c r="AA291" s="3887"/>
      <c r="AB291" s="3881"/>
      <c r="AC291" s="3885"/>
      <c r="AD291" s="3885"/>
      <c r="AE291" s="3886" t="str">
        <f>AF290&amp;"-"&amp;AH290</f>
        <v>45292-45473</v>
      </c>
      <c r="AF291" s="3887"/>
      <c r="AG291" s="3881"/>
      <c r="AH291" s="4118"/>
      <c r="AI291" s="3881"/>
      <c r="AJ291" s="3885"/>
      <c r="AK291" s="3885"/>
      <c r="AL291" s="3886" t="str">
        <f>AM290&amp;"-"&amp;AO290</f>
        <v>45474-45657</v>
      </c>
      <c r="AM291" s="3887"/>
      <c r="AN291" s="3881"/>
      <c r="AO291" s="3887"/>
      <c r="AP291" s="3881"/>
      <c r="AQ291" s="3885"/>
      <c r="AR291" s="3885"/>
      <c r="AS291" s="3886" t="str">
        <f>AT290&amp;"-"&amp;AV290</f>
        <v>45658-45838</v>
      </c>
      <c r="AT291" s="3887"/>
      <c r="AU291" s="3881"/>
      <c r="AV291" s="3887"/>
      <c r="AW291" s="3881"/>
      <c r="AX291" s="3885"/>
      <c r="AY291" s="3885"/>
      <c r="AZ291" s="3886" t="str">
        <f>BA290&amp;"-"&amp;BC290</f>
        <v>45839-46022</v>
      </c>
      <c r="BA291" s="3887"/>
      <c r="BB291" s="3881"/>
      <c r="BC291" s="3887"/>
      <c r="BD291" s="3881"/>
      <c r="BE291" s="3885"/>
      <c r="BF291" s="3885"/>
      <c r="BG291" s="3886" t="str">
        <f>BH290&amp;"-"&amp;BJ290</f>
        <v>46023-46203</v>
      </c>
      <c r="BH291" s="3887"/>
      <c r="BI291" s="3881"/>
      <c r="BJ291" s="3887"/>
      <c r="BK291" s="3881"/>
      <c r="BL291" s="3885"/>
      <c r="BM291" s="3885"/>
      <c r="BN291" s="3886" t="str">
        <f>BO290&amp;"-"&amp;BQ290</f>
        <v>46204-46387</v>
      </c>
      <c r="BO291" s="3887"/>
      <c r="BP291" s="3881"/>
      <c r="BQ291" s="3887"/>
      <c r="BR291" s="3881"/>
      <c r="BS291" s="3885"/>
      <c r="BT291" s="3885"/>
      <c r="BU291" s="3886" t="str">
        <f>BV290&amp;"-"&amp;BX290</f>
        <v>46388-46568</v>
      </c>
      <c r="BV291" s="3887"/>
      <c r="BW291" s="3881"/>
      <c r="BX291" s="3887"/>
      <c r="BY291" s="3881"/>
      <c r="BZ291" s="3885"/>
      <c r="CA291" s="3885"/>
      <c r="CB291" s="3886" t="str">
        <f>CC290&amp;"-"&amp;CE290</f>
        <v>46569-46752</v>
      </c>
      <c r="CC291" s="3887"/>
      <c r="CD291" s="3881"/>
      <c r="CE291" s="3887"/>
      <c r="CF291" s="3881"/>
      <c r="CG291" s="3885"/>
      <c r="CH291" s="3885"/>
      <c r="CI291" s="3886" t="str">
        <f>CJ290&amp;"-"&amp;CL290</f>
        <v>46753-46934</v>
      </c>
      <c r="CJ291" s="3887"/>
      <c r="CK291" s="3881"/>
      <c r="CL291" s="3887"/>
      <c r="CM291" s="3881"/>
      <c r="CN291" s="3885"/>
      <c r="CO291" s="3885"/>
      <c r="CP291" s="3886" t="str">
        <f>CQ290&amp;"-"&amp;CS290</f>
        <v>46935-47118</v>
      </c>
      <c r="CQ291" s="3887"/>
      <c r="CR291" s="3881"/>
      <c r="CS291" s="3887"/>
      <c r="CT291" s="3881"/>
      <c r="CU291" s="4203"/>
      <c r="CV291" s="4200"/>
      <c r="CW291" s="4093"/>
      <c r="CX291" s="4196"/>
      <c r="CY291" s="4196" t="str">
        <f>IF(T291="","",T291)</f>
        <v/>
      </c>
      <c r="CZ291" s="4196"/>
      <c r="DA291" s="4196"/>
      <c r="DB291" s="3858">
        <v>0</v>
      </c>
    </row>
    <row s="9880" customFormat="1" customHeight="1" ht="21">
      <c r="A292" s="4183"/>
      <c r="B292" s="4183"/>
      <c r="C292" s="4183"/>
      <c r="D292" s="4183"/>
      <c r="E292" s="4184"/>
      <c r="F292" s="4184"/>
      <c r="G292" s="4184"/>
      <c r="H292" s="4184"/>
      <c r="I292" s="4185"/>
      <c r="J292" s="4186" t="str">
        <f>I280&amp;".2"</f>
        <v>1.13.1.1.2</v>
      </c>
      <c r="K292" s="4183"/>
      <c r="L292" s="4187"/>
      <c r="M292" s="4188"/>
      <c r="N292" s="4188"/>
      <c r="O292" s="4188"/>
      <c r="P292" s="4189"/>
      <c r="Q292" s="4189"/>
      <c r="R292" s="4205"/>
      <c r="S292" s="9881"/>
      <c r="T292" s="9882" t="s">
        <v>615</v>
      </c>
      <c r="U292" s="9883"/>
      <c r="V292" s="9884"/>
      <c r="W292" s="9885"/>
      <c r="X292" s="9886"/>
      <c r="Y292" s="9887"/>
      <c r="Z292" s="9888"/>
      <c r="AA292" s="9889"/>
      <c r="AB292" s="9890"/>
      <c r="AC292" s="9891"/>
      <c r="AD292" s="9892"/>
      <c r="AE292" s="9893"/>
      <c r="AF292" s="9894"/>
      <c r="AG292" s="9895"/>
      <c r="AH292" s="9896"/>
      <c r="AI292" s="9897"/>
      <c r="AJ292" s="9898"/>
      <c r="AK292" s="9899"/>
      <c r="AL292" s="9900"/>
      <c r="AM292" s="9901"/>
      <c r="AN292" s="9902"/>
      <c r="AO292" s="9903"/>
      <c r="AP292" s="9904"/>
      <c r="AQ292" s="9905"/>
      <c r="AR292" s="9906"/>
      <c r="AS292" s="9907"/>
      <c r="AT292" s="9908"/>
      <c r="AU292" s="9909"/>
      <c r="AV292" s="9910"/>
      <c r="AW292" s="9911"/>
      <c r="AX292" s="9912"/>
      <c r="AY292" s="9913"/>
      <c r="AZ292" s="9914"/>
      <c r="BA292" s="9915"/>
      <c r="BB292" s="9916"/>
      <c r="BC292" s="9917"/>
      <c r="BD292" s="9918"/>
      <c r="BE292" s="9919"/>
      <c r="BF292" s="9920"/>
      <c r="BG292" s="9921"/>
      <c r="BH292" s="9922"/>
      <c r="BI292" s="9923"/>
      <c r="BJ292" s="9924"/>
      <c r="BK292" s="9925"/>
      <c r="BL292" s="9926"/>
      <c r="BM292" s="9927"/>
      <c r="BN292" s="9928"/>
      <c r="BO292" s="9929"/>
      <c r="BP292" s="9930"/>
      <c r="BQ292" s="9931"/>
      <c r="BR292" s="9932"/>
      <c r="BS292" s="9933"/>
      <c r="BT292" s="9934"/>
      <c r="BU292" s="9935"/>
      <c r="BV292" s="9936"/>
      <c r="BW292" s="9937"/>
      <c r="BX292" s="9938"/>
      <c r="BY292" s="9939"/>
      <c r="BZ292" s="9940"/>
      <c r="CA292" s="9941"/>
      <c r="CB292" s="9942"/>
      <c r="CC292" s="9943"/>
      <c r="CD292" s="9944"/>
      <c r="CE292" s="9945"/>
      <c r="CF292" s="9946"/>
      <c r="CG292" s="9947"/>
      <c r="CH292" s="9948"/>
      <c r="CI292" s="9949"/>
      <c r="CJ292" s="9950"/>
      <c r="CK292" s="9951"/>
      <c r="CL292" s="9952"/>
      <c r="CM292" s="9953"/>
      <c r="CN292" s="9954"/>
      <c r="CO292" s="9955"/>
      <c r="CP292" s="9956"/>
      <c r="CQ292" s="9957"/>
      <c r="CR292" s="9958"/>
      <c r="CS292" s="9959"/>
      <c r="CT292" s="9960"/>
      <c r="CU292" s="9961"/>
      <c r="CV292" s="4287" t="s">
        <v>616</v>
      </c>
      <c r="CW292" s="4093"/>
      <c r="CX292" s="4196"/>
      <c r="CY292" s="4196" t="str">
        <f>IF(T292="","",T292)</f>
        <v>Добавить значение признака дифференциации</v>
      </c>
      <c r="CZ292" s="4196"/>
      <c r="DA292" s="4196"/>
      <c r="DB292" s="3858">
        <v>0</v>
      </c>
    </row>
    <row s="9962" customFormat="1" customHeight="1" ht="21">
      <c r="A293" s="4183"/>
      <c r="B293" s="4183"/>
      <c r="C293" s="4183"/>
      <c r="D293" s="4183"/>
      <c r="E293" s="4184"/>
      <c r="F293" s="4184" t="s">
        <v>155</v>
      </c>
      <c r="G293" s="4184"/>
      <c r="H293" s="4184"/>
      <c r="I293" s="4186"/>
      <c r="J293" s="4183"/>
      <c r="K293" s="4183"/>
      <c r="L293" s="4187"/>
      <c r="M293" s="4188"/>
      <c r="N293" s="4188"/>
      <c r="O293" s="4188"/>
      <c r="P293" s="4189"/>
      <c r="Q293" s="4189"/>
      <c r="R293" s="4205"/>
      <c r="S293" s="9963"/>
      <c r="T293" s="9964" t="s">
        <v>544</v>
      </c>
      <c r="U293" s="9965"/>
      <c r="V293" s="9966"/>
      <c r="W293" s="9967"/>
      <c r="X293" s="9968"/>
      <c r="Y293" s="9969"/>
      <c r="Z293" s="9970"/>
      <c r="AA293" s="9971"/>
      <c r="AB293" s="9972"/>
      <c r="AC293" s="9973"/>
      <c r="AD293" s="9974"/>
      <c r="AE293" s="9975"/>
      <c r="AF293" s="9976"/>
      <c r="AG293" s="9977"/>
      <c r="AH293" s="9978"/>
      <c r="AI293" s="9979"/>
      <c r="AJ293" s="9980"/>
      <c r="AK293" s="9981"/>
      <c r="AL293" s="9982"/>
      <c r="AM293" s="9983"/>
      <c r="AN293" s="9984"/>
      <c r="AO293" s="9985"/>
      <c r="AP293" s="9986"/>
      <c r="AQ293" s="9987"/>
      <c r="AR293" s="9988"/>
      <c r="AS293" s="9989"/>
      <c r="AT293" s="9990"/>
      <c r="AU293" s="9991"/>
      <c r="AV293" s="9992"/>
      <c r="AW293" s="9993"/>
      <c r="AX293" s="9994"/>
      <c r="AY293" s="9995"/>
      <c r="AZ293" s="9996"/>
      <c r="BA293" s="9997"/>
      <c r="BB293" s="9998"/>
      <c r="BC293" s="9999"/>
      <c r="BD293" s="10000"/>
      <c r="BE293" s="10001"/>
      <c r="BF293" s="10002"/>
      <c r="BG293" s="10003"/>
      <c r="BH293" s="10004"/>
      <c r="BI293" s="10005"/>
      <c r="BJ293" s="10006"/>
      <c r="BK293" s="10007"/>
      <c r="BL293" s="10008"/>
      <c r="BM293" s="10009"/>
      <c r="BN293" s="10010"/>
      <c r="BO293" s="10011"/>
      <c r="BP293" s="10012"/>
      <c r="BQ293" s="10013"/>
      <c r="BR293" s="10014"/>
      <c r="BS293" s="10015"/>
      <c r="BT293" s="10016"/>
      <c r="BU293" s="10017"/>
      <c r="BV293" s="10018"/>
      <c r="BW293" s="10019"/>
      <c r="BX293" s="10020"/>
      <c r="BY293" s="10021"/>
      <c r="BZ293" s="10022"/>
      <c r="CA293" s="10023"/>
      <c r="CB293" s="10024"/>
      <c r="CC293" s="10025"/>
      <c r="CD293" s="10026"/>
      <c r="CE293" s="10027"/>
      <c r="CF293" s="10028"/>
      <c r="CG293" s="10029"/>
      <c r="CH293" s="10030"/>
      <c r="CI293" s="10031"/>
      <c r="CJ293" s="10032"/>
      <c r="CK293" s="10033"/>
      <c r="CL293" s="10034"/>
      <c r="CM293" s="10035"/>
      <c r="CN293" s="10036"/>
      <c r="CO293" s="10037"/>
      <c r="CP293" s="10038"/>
      <c r="CQ293" s="10039"/>
      <c r="CR293" s="10040"/>
      <c r="CS293" s="10041"/>
      <c r="CT293" s="10042"/>
      <c r="CU293" s="10043"/>
      <c r="CV293" s="10044"/>
      <c r="CW293" s="4093"/>
      <c r="CX293" s="4196"/>
      <c r="CY293" s="4196" t="str">
        <f>IF(T293="","",T293)</f>
        <v>Добавить группу потребителей</v>
      </c>
      <c r="CZ293" s="4196"/>
      <c r="DA293" s="4196"/>
      <c r="DB293" s="3858">
        <v>0</v>
      </c>
    </row>
    <row s="10045" customFormat="1" customHeight="1" ht="14.25">
      <c r="A294" s="4183"/>
      <c r="B294" s="4183"/>
      <c r="C294" s="4183"/>
      <c r="D294" s="4183"/>
      <c r="E294" s="4184"/>
      <c r="F294" s="4184" t="s">
        <v>155</v>
      </c>
      <c r="G294" s="4184"/>
      <c r="H294" s="4500"/>
      <c r="I294" s="4183"/>
      <c r="J294" s="4183"/>
      <c r="K294" s="4183"/>
      <c r="L294" s="4187"/>
      <c r="M294" s="4501"/>
      <c r="N294" s="4501"/>
      <c r="O294" s="4083"/>
      <c r="P294" s="4853"/>
      <c r="Q294" s="4854"/>
      <c r="R294" s="4855"/>
      <c r="S294" s="10046"/>
      <c r="T294" s="10047" t="s">
        <v>617</v>
      </c>
      <c r="U294" s="10048"/>
      <c r="V294" s="10049"/>
      <c r="W294" s="10050"/>
      <c r="X294" s="10051"/>
      <c r="Y294" s="10052"/>
      <c r="Z294" s="10053"/>
      <c r="AA294" s="10054"/>
      <c r="AB294" s="10055"/>
      <c r="AC294" s="10056"/>
      <c r="AD294" s="10057"/>
      <c r="AE294" s="10058"/>
      <c r="AF294" s="10059"/>
      <c r="AG294" s="10060"/>
      <c r="AH294" s="10061"/>
      <c r="AI294" s="10062"/>
      <c r="AJ294" s="10063"/>
      <c r="AK294" s="10064"/>
      <c r="AL294" s="10065"/>
      <c r="AM294" s="10066"/>
      <c r="AN294" s="10067"/>
      <c r="AO294" s="10068"/>
      <c r="AP294" s="10069"/>
      <c r="AQ294" s="10070"/>
      <c r="AR294" s="10071"/>
      <c r="AS294" s="10072"/>
      <c r="AT294" s="10073"/>
      <c r="AU294" s="10074"/>
      <c r="AV294" s="10075"/>
      <c r="AW294" s="10076"/>
      <c r="AX294" s="10077"/>
      <c r="AY294" s="10078"/>
      <c r="AZ294" s="10079"/>
      <c r="BA294" s="10080"/>
      <c r="BB294" s="10081"/>
      <c r="BC294" s="10082"/>
      <c r="BD294" s="10083"/>
      <c r="BE294" s="10084"/>
      <c r="BF294" s="10085"/>
      <c r="BG294" s="10086"/>
      <c r="BH294" s="10087"/>
      <c r="BI294" s="10088"/>
      <c r="BJ294" s="10089"/>
      <c r="BK294" s="10090"/>
      <c r="BL294" s="10091"/>
      <c r="BM294" s="10092"/>
      <c r="BN294" s="10093"/>
      <c r="BO294" s="10094"/>
      <c r="BP294" s="10095"/>
      <c r="BQ294" s="10096"/>
      <c r="BR294" s="10097"/>
      <c r="BS294" s="10098"/>
      <c r="BT294" s="10099"/>
      <c r="BU294" s="10100"/>
      <c r="BV294" s="10101"/>
      <c r="BW294" s="10102"/>
      <c r="BX294" s="10103"/>
      <c r="BY294" s="10104"/>
      <c r="BZ294" s="10105"/>
      <c r="CA294" s="10106"/>
      <c r="CB294" s="10107"/>
      <c r="CC294" s="10108"/>
      <c r="CD294" s="10109"/>
      <c r="CE294" s="10110"/>
      <c r="CF294" s="10111"/>
      <c r="CG294" s="10112"/>
      <c r="CH294" s="10113"/>
      <c r="CI294" s="10114"/>
      <c r="CJ294" s="10115"/>
      <c r="CK294" s="10116"/>
      <c r="CL294" s="10117"/>
      <c r="CM294" s="10118"/>
      <c r="CN294" s="10119"/>
      <c r="CO294" s="10120"/>
      <c r="CP294" s="10121"/>
      <c r="CQ294" s="10122"/>
      <c r="CR294" s="10123"/>
      <c r="CS294" s="10124"/>
      <c r="CT294" s="10125"/>
      <c r="CU294" s="10126"/>
      <c r="CV294" s="10127"/>
      <c r="CW294" s="4093"/>
      <c r="CX294" s="4196"/>
      <c r="CY294" s="4196" t="str">
        <f>IF(T294="","",T294)</f>
        <v>Добавить наименование признака дифференциации</v>
      </c>
      <c r="CZ294" s="4196"/>
      <c r="DA294" s="4196"/>
      <c r="DB294" s="3858">
        <v>0</v>
      </c>
    </row>
    <row s="10128" customFormat="1" customHeight="1" ht="14.25">
      <c r="A295" s="4939"/>
      <c r="B295" s="4939"/>
      <c r="C295" s="4939"/>
      <c r="D295" s="4939"/>
      <c r="E295" s="4184"/>
      <c r="F295" s="4500" t="s">
        <v>155</v>
      </c>
      <c r="G295" s="4939"/>
      <c r="H295" s="4939"/>
      <c r="I295" s="4939"/>
      <c r="J295" s="4939"/>
      <c r="K295" s="4939"/>
      <c r="L295" s="4940"/>
      <c r="M295" s="4941"/>
      <c r="N295" s="4941"/>
      <c r="O295" s="4093"/>
      <c r="P295" s="4942"/>
      <c r="Q295" s="4943"/>
      <c r="R295" s="4942"/>
      <c r="S295" s="4944"/>
      <c r="T295" s="4945" t="s">
        <v>302</v>
      </c>
      <c r="U295" s="4081"/>
      <c r="V295" s="4081"/>
      <c r="W295" s="4081"/>
      <c r="X295" s="4081"/>
      <c r="Y295" s="4081"/>
      <c r="Z295" s="4081"/>
      <c r="AA295" s="4081"/>
      <c r="AB295" s="4081"/>
      <c r="AC295" s="4081"/>
      <c r="AD295" s="4081"/>
      <c r="AE295" s="4081"/>
      <c r="AF295" s="4081"/>
      <c r="AG295" s="4081"/>
      <c r="AH295" s="4081"/>
      <c r="AI295" s="4081"/>
      <c r="AJ295" s="4081"/>
      <c r="AK295" s="4081"/>
      <c r="AL295" s="4081"/>
      <c r="AM295" s="4081"/>
      <c r="AN295" s="4081"/>
      <c r="AO295" s="4081"/>
      <c r="AP295" s="4081"/>
      <c r="AQ295" s="4081"/>
      <c r="AR295" s="4081"/>
      <c r="AS295" s="4081"/>
      <c r="AT295" s="4081"/>
      <c r="AU295" s="4081"/>
      <c r="AV295" s="4081"/>
      <c r="AW295" s="4081"/>
      <c r="AX295" s="4081"/>
      <c r="AY295" s="4081"/>
      <c r="AZ295" s="4081"/>
      <c r="BA295" s="4081"/>
      <c r="BB295" s="4081"/>
      <c r="BC295" s="4081"/>
      <c r="BD295" s="4081"/>
      <c r="BE295" s="4081"/>
      <c r="BF295" s="4081"/>
      <c r="BG295" s="4081"/>
      <c r="BH295" s="4081"/>
      <c r="BI295" s="4081"/>
      <c r="BJ295" s="4081"/>
      <c r="BK295" s="4081"/>
      <c r="BL295" s="4081"/>
      <c r="BM295" s="4081"/>
      <c r="BN295" s="4081"/>
      <c r="BO295" s="4081"/>
      <c r="BP295" s="4081"/>
      <c r="BQ295" s="4081"/>
      <c r="BR295" s="4081"/>
      <c r="BS295" s="4081"/>
      <c r="BT295" s="4081"/>
      <c r="BU295" s="4081"/>
      <c r="BV295" s="4081"/>
      <c r="BW295" s="4081"/>
      <c r="BX295" s="4081"/>
      <c r="BY295" s="4081"/>
      <c r="BZ295" s="4081"/>
      <c r="CA295" s="4081"/>
      <c r="CB295" s="4081"/>
      <c r="CC295" s="4081"/>
      <c r="CD295" s="4081"/>
      <c r="CE295" s="4081"/>
      <c r="CF295" s="4081"/>
      <c r="CG295" s="4081"/>
      <c r="CH295" s="4081"/>
      <c r="CI295" s="4081"/>
      <c r="CJ295" s="4081"/>
      <c r="CK295" s="4081"/>
      <c r="CL295" s="4081"/>
      <c r="CM295" s="4081"/>
      <c r="CN295" s="4081"/>
      <c r="CO295" s="4081"/>
      <c r="CP295" s="4081"/>
      <c r="CQ295" s="4081"/>
      <c r="CR295" s="4081"/>
      <c r="CS295" s="4081"/>
      <c r="CT295" s="4081"/>
      <c r="CU295" s="4081"/>
      <c r="CV295" s="4081"/>
      <c r="CW295" s="4093"/>
      <c r="CX295" s="4196"/>
      <c r="CY295" s="4196" t="str">
        <f>IF(T295="","",T295)</f>
        <v>Добавить централизованную систему для дифференциации</v>
      </c>
      <c r="CZ295" s="4196"/>
      <c r="DA295" s="4196"/>
      <c r="DB295" s="4093">
        <v>0</v>
      </c>
    </row>
    <row s="10129" customFormat="1" customHeight="1" ht="23.25">
      <c r="A296" s="4183"/>
      <c r="B296" s="4183" t="s">
        <v>343</v>
      </c>
      <c r="C296" s="4183"/>
      <c r="D296" s="4183"/>
      <c r="E296" s="4184"/>
      <c r="F296" s="4500" t="s">
        <v>165</v>
      </c>
      <c r="G296" s="4183"/>
      <c r="H296" s="4183"/>
      <c r="I296" s="4183"/>
      <c r="J296" s="4183"/>
      <c r="K296" s="4183"/>
      <c r="L296" s="4187"/>
      <c r="M296" s="4501"/>
      <c r="N296" s="4501"/>
      <c r="O296" s="4501"/>
      <c r="P296" s="4502"/>
      <c r="Q296" s="4503"/>
      <c r="R296" s="4504"/>
      <c r="S296" s="4192" t="str">
        <f>INDEX(PT_DIFFERENTIATION_NUM_TER,MATCH(B296,PT_DIFFERENTIATION_TER_ID,0))</f>
        <v>1.14</v>
      </c>
      <c r="T296" s="4505" t="s">
        <v>529</v>
      </c>
      <c r="U296" s="4194"/>
      <c r="V296" s="3860"/>
      <c r="W296" s="3861"/>
      <c r="X296" s="3861"/>
      <c r="Y296" s="3861"/>
      <c r="Z296" s="3861"/>
      <c r="AA296" s="3861"/>
      <c r="AB296" s="3862"/>
      <c r="AC296" s="3860" t="str">
        <f>INDEX(PT_DIFFERENTIATION_TER,MATCH(B296,PT_DIFFERENTIATION_TER_ID,0))</f>
        <v>Территория 14</v>
      </c>
      <c r="AD296" s="3861"/>
      <c r="AE296" s="3861"/>
      <c r="AF296" s="3861"/>
      <c r="AG296" s="3861"/>
      <c r="AH296" s="3861"/>
      <c r="AI296" s="3861"/>
      <c r="AJ296" s="3860"/>
      <c r="AK296" s="3861"/>
      <c r="AL296" s="3861"/>
      <c r="AM296" s="3861"/>
      <c r="AN296" s="3861"/>
      <c r="AO296" s="3861"/>
      <c r="AP296" s="3862"/>
      <c r="AQ296" s="3860"/>
      <c r="AR296" s="3861"/>
      <c r="AS296" s="3861"/>
      <c r="AT296" s="3861"/>
      <c r="AU296" s="3861"/>
      <c r="AV296" s="3861"/>
      <c r="AW296" s="3862"/>
      <c r="AX296" s="3860"/>
      <c r="AY296" s="3861"/>
      <c r="AZ296" s="3861"/>
      <c r="BA296" s="3861"/>
      <c r="BB296" s="3861"/>
      <c r="BC296" s="3861"/>
      <c r="BD296" s="3862"/>
      <c r="BE296" s="3860"/>
      <c r="BF296" s="3861"/>
      <c r="BG296" s="3861"/>
      <c r="BH296" s="3861"/>
      <c r="BI296" s="3861"/>
      <c r="BJ296" s="3861"/>
      <c r="BK296" s="3862"/>
      <c r="BL296" s="3860"/>
      <c r="BM296" s="3861"/>
      <c r="BN296" s="3861"/>
      <c r="BO296" s="3861"/>
      <c r="BP296" s="3861"/>
      <c r="BQ296" s="3861"/>
      <c r="BR296" s="3862"/>
      <c r="BS296" s="3860"/>
      <c r="BT296" s="3861"/>
      <c r="BU296" s="3861"/>
      <c r="BV296" s="3861"/>
      <c r="BW296" s="3861"/>
      <c r="BX296" s="3861"/>
      <c r="BY296" s="3862"/>
      <c r="BZ296" s="3860"/>
      <c r="CA296" s="3861"/>
      <c r="CB296" s="3861"/>
      <c r="CC296" s="3861"/>
      <c r="CD296" s="3861"/>
      <c r="CE296" s="3861"/>
      <c r="CF296" s="3862"/>
      <c r="CG296" s="3860"/>
      <c r="CH296" s="3861"/>
      <c r="CI296" s="3861"/>
      <c r="CJ296" s="3861"/>
      <c r="CK296" s="3861"/>
      <c r="CL296" s="3861"/>
      <c r="CM296" s="3862"/>
      <c r="CN296" s="3860"/>
      <c r="CO296" s="3861"/>
      <c r="CP296" s="3861"/>
      <c r="CQ296" s="3861"/>
      <c r="CR296" s="3861"/>
      <c r="CS296" s="3861"/>
      <c r="CT296" s="3862"/>
      <c r="CU296" s="3862"/>
      <c r="CV296" s="4287" t="s">
        <v>530</v>
      </c>
      <c r="CW296" s="4093"/>
      <c r="CX296" s="4196"/>
      <c r="CY296" s="4196" t="str">
        <f>IF(T296="","",T296)</f>
        <v>Территория действия тарифа</v>
      </c>
      <c r="CZ296" s="4196"/>
      <c r="DA296" s="4196"/>
      <c r="DB296" s="3858">
        <v>0</v>
      </c>
    </row>
    <row s="10130" customFormat="1" customHeight="1" ht="23.25">
      <c r="A297" s="4183"/>
      <c r="B297" s="4183"/>
      <c r="C297" s="4183" t="s">
        <v>344</v>
      </c>
      <c r="D297" s="4183"/>
      <c r="E297" s="4184"/>
      <c r="F297" s="4184" t="s">
        <v>160</v>
      </c>
      <c r="G297" s="4500">
        <v>1</v>
      </c>
      <c r="H297" s="4183"/>
      <c r="I297" s="4183"/>
      <c r="J297" s="4183"/>
      <c r="K297" s="4183"/>
      <c r="L297" s="4187"/>
      <c r="M297" s="4501"/>
      <c r="N297" s="4501"/>
      <c r="O297" s="4501"/>
      <c r="P297" s="4507"/>
      <c r="Q297" s="4503"/>
      <c r="R297" s="4504"/>
      <c r="S297" s="4192" t="str">
        <f>INDEX(PT_DIFFERENTIATION_NUM_CS,MATCH(C297,PT_DIFFERENTIATION_CS_ID,0))</f>
        <v>1.14.1</v>
      </c>
      <c r="T297" s="4508" t="s">
        <v>610</v>
      </c>
      <c r="U297" s="4194"/>
      <c r="V297" s="3860"/>
      <c r="W297" s="3861"/>
      <c r="X297" s="3861"/>
      <c r="Y297" s="3861"/>
      <c r="Z297" s="3861"/>
      <c r="AA297" s="3861"/>
      <c r="AB297" s="3862"/>
      <c r="AC297" s="3860" t="str">
        <f>INDEX(PT_DIFFERENTIATION_CS,MATCH(C297,PT_DIFFERENTIATION_CS_ID,0))</f>
        <v>без дифференциации</v>
      </c>
      <c r="AD297" s="3861"/>
      <c r="AE297" s="3861"/>
      <c r="AF297" s="3861"/>
      <c r="AG297" s="3861"/>
      <c r="AH297" s="3861"/>
      <c r="AI297" s="3861"/>
      <c r="AJ297" s="3860"/>
      <c r="AK297" s="3861"/>
      <c r="AL297" s="3861"/>
      <c r="AM297" s="3861"/>
      <c r="AN297" s="3861"/>
      <c r="AO297" s="3861"/>
      <c r="AP297" s="3862"/>
      <c r="AQ297" s="3860"/>
      <c r="AR297" s="3861"/>
      <c r="AS297" s="3861"/>
      <c r="AT297" s="3861"/>
      <c r="AU297" s="3861"/>
      <c r="AV297" s="3861"/>
      <c r="AW297" s="3862"/>
      <c r="AX297" s="3860"/>
      <c r="AY297" s="3861"/>
      <c r="AZ297" s="3861"/>
      <c r="BA297" s="3861"/>
      <c r="BB297" s="3861"/>
      <c r="BC297" s="3861"/>
      <c r="BD297" s="3862"/>
      <c r="BE297" s="3860"/>
      <c r="BF297" s="3861"/>
      <c r="BG297" s="3861"/>
      <c r="BH297" s="3861"/>
      <c r="BI297" s="3861"/>
      <c r="BJ297" s="3861"/>
      <c r="BK297" s="3862"/>
      <c r="BL297" s="3860"/>
      <c r="BM297" s="3861"/>
      <c r="BN297" s="3861"/>
      <c r="BO297" s="3861"/>
      <c r="BP297" s="3861"/>
      <c r="BQ297" s="3861"/>
      <c r="BR297" s="3862"/>
      <c r="BS297" s="3860"/>
      <c r="BT297" s="3861"/>
      <c r="BU297" s="3861"/>
      <c r="BV297" s="3861"/>
      <c r="BW297" s="3861"/>
      <c r="BX297" s="3861"/>
      <c r="BY297" s="3862"/>
      <c r="BZ297" s="3860"/>
      <c r="CA297" s="3861"/>
      <c r="CB297" s="3861"/>
      <c r="CC297" s="3861"/>
      <c r="CD297" s="3861"/>
      <c r="CE297" s="3861"/>
      <c r="CF297" s="3862"/>
      <c r="CG297" s="3860"/>
      <c r="CH297" s="3861"/>
      <c r="CI297" s="3861"/>
      <c r="CJ297" s="3861"/>
      <c r="CK297" s="3861"/>
      <c r="CL297" s="3861"/>
      <c r="CM297" s="3862"/>
      <c r="CN297" s="3860"/>
      <c r="CO297" s="3861"/>
      <c r="CP297" s="3861"/>
      <c r="CQ297" s="3861"/>
      <c r="CR297" s="3861"/>
      <c r="CS297" s="3861"/>
      <c r="CT297" s="3862"/>
      <c r="CU297" s="3862"/>
      <c r="CV297" s="4287" t="s">
        <v>611</v>
      </c>
      <c r="CW297" s="4093"/>
      <c r="CX297" s="4196"/>
      <c r="CY297" s="4196" t="str">
        <f>IF(T297="","",T297)</f>
        <v>Наименование централизованной системы холодного водоснабжения</v>
      </c>
      <c r="CZ297" s="4196"/>
      <c r="DA297" s="4196"/>
      <c r="DB297" s="3858">
        <v>0</v>
      </c>
    </row>
    <row s="10131" customFormat="1" customHeight="1" ht="23.25">
      <c r="A298" s="4183"/>
      <c r="B298" s="4183"/>
      <c r="C298" s="4183"/>
      <c r="D298" s="4183"/>
      <c r="E298" s="4184"/>
      <c r="F298" s="4184" t="s">
        <v>160</v>
      </c>
      <c r="G298" s="4184"/>
      <c r="H298" s="4184"/>
      <c r="I298" s="4186" t="str">
        <f>S297&amp;".1"</f>
        <v>1.14.1.1</v>
      </c>
      <c r="J298" s="4183"/>
      <c r="K298" s="4183"/>
      <c r="L298" s="4187"/>
      <c r="M298" s="4188"/>
      <c r="N298" s="4188"/>
      <c r="O298" s="4188"/>
      <c r="P298" s="4189">
        <v>1</v>
      </c>
      <c r="Q298" s="4189"/>
      <c r="R298" s="4205"/>
      <c r="S298" s="4192" t="str">
        <f>$I298</f>
        <v>1.14.1.1</v>
      </c>
      <c r="T298" s="4510" t="s">
        <v>612</v>
      </c>
      <c r="U298" s="4194"/>
      <c r="V298" s="3870"/>
      <c r="W298" s="3871"/>
      <c r="X298" s="3871"/>
      <c r="Y298" s="3871"/>
      <c r="Z298" s="3871"/>
      <c r="AA298" s="3871"/>
      <c r="AB298" s="3872"/>
      <c r="AC298" s="4511"/>
      <c r="AD298" s="4512"/>
      <c r="AE298" s="4512"/>
      <c r="AF298" s="4512"/>
      <c r="AG298" s="4512"/>
      <c r="AH298" s="4512"/>
      <c r="AI298" s="4512"/>
      <c r="AJ298" s="3870"/>
      <c r="AK298" s="3871"/>
      <c r="AL298" s="3871"/>
      <c r="AM298" s="3871"/>
      <c r="AN298" s="3871"/>
      <c r="AO298" s="3871"/>
      <c r="AP298" s="3872"/>
      <c r="AQ298" s="3870"/>
      <c r="AR298" s="3871"/>
      <c r="AS298" s="3871"/>
      <c r="AT298" s="3871"/>
      <c r="AU298" s="3871"/>
      <c r="AV298" s="3871"/>
      <c r="AW298" s="3872"/>
      <c r="AX298" s="3870"/>
      <c r="AY298" s="3871"/>
      <c r="AZ298" s="3871"/>
      <c r="BA298" s="3871"/>
      <c r="BB298" s="3871"/>
      <c r="BC298" s="3871"/>
      <c r="BD298" s="3872"/>
      <c r="BE298" s="3870"/>
      <c r="BF298" s="3871"/>
      <c r="BG298" s="3871"/>
      <c r="BH298" s="3871"/>
      <c r="BI298" s="3871"/>
      <c r="BJ298" s="3871"/>
      <c r="BK298" s="3872"/>
      <c r="BL298" s="3870"/>
      <c r="BM298" s="3871"/>
      <c r="BN298" s="3871"/>
      <c r="BO298" s="3871"/>
      <c r="BP298" s="3871"/>
      <c r="BQ298" s="3871"/>
      <c r="BR298" s="3872"/>
      <c r="BS298" s="3870"/>
      <c r="BT298" s="3871"/>
      <c r="BU298" s="3871"/>
      <c r="BV298" s="3871"/>
      <c r="BW298" s="3871"/>
      <c r="BX298" s="3871"/>
      <c r="BY298" s="3872"/>
      <c r="BZ298" s="3870"/>
      <c r="CA298" s="3871"/>
      <c r="CB298" s="3871"/>
      <c r="CC298" s="3871"/>
      <c r="CD298" s="3871"/>
      <c r="CE298" s="3871"/>
      <c r="CF298" s="3872"/>
      <c r="CG298" s="3870"/>
      <c r="CH298" s="3871"/>
      <c r="CI298" s="3871"/>
      <c r="CJ298" s="3871"/>
      <c r="CK298" s="3871"/>
      <c r="CL298" s="3871"/>
      <c r="CM298" s="3872"/>
      <c r="CN298" s="3870"/>
      <c r="CO298" s="3871"/>
      <c r="CP298" s="3871"/>
      <c r="CQ298" s="3871"/>
      <c r="CR298" s="3871"/>
      <c r="CS298" s="3871"/>
      <c r="CT298" s="3872"/>
      <c r="CU298" s="4513"/>
      <c r="CV298" s="4287" t="s">
        <v>613</v>
      </c>
      <c r="CW298" s="4093"/>
      <c r="CX298" s="4196"/>
      <c r="CY298" s="4196" t="str">
        <f>IF(T298="","",T298)</f>
        <v>Наименование признака дифференциации</v>
      </c>
      <c r="CZ298" s="4196"/>
      <c r="DA298" s="4196"/>
      <c r="DB298" s="3858">
        <v>0</v>
      </c>
    </row>
    <row s="10132" customFormat="1" customHeight="1" ht="23.25">
      <c r="A299" s="4183"/>
      <c r="B299" s="4183"/>
      <c r="C299" s="4183"/>
      <c r="D299" s="4183"/>
      <c r="E299" s="4184"/>
      <c r="F299" s="4184" t="s">
        <v>160</v>
      </c>
      <c r="G299" s="4184"/>
      <c r="H299" s="4184"/>
      <c r="I299" s="4185"/>
      <c r="J299" s="4186" t="str">
        <f>I298&amp;".1"</f>
        <v>1.14.1.1.1</v>
      </c>
      <c r="K299" s="4183"/>
      <c r="L299" s="4187" t="s">
        <v>538</v>
      </c>
      <c r="M299" s="4188"/>
      <c r="N299" s="4188"/>
      <c r="O299" s="4188"/>
      <c r="P299" s="4189"/>
      <c r="Q299" s="4189">
        <v>1</v>
      </c>
      <c r="R299" s="4191"/>
      <c r="S299" s="4192" t="str">
        <f>$J299</f>
        <v>1.14.1.1.1</v>
      </c>
      <c r="T299" s="4193" t="s">
        <v>539</v>
      </c>
      <c r="U299" s="4194"/>
      <c r="V299" s="3874"/>
      <c r="W299" s="3875"/>
      <c r="X299" s="3875"/>
      <c r="Y299" s="3875"/>
      <c r="Z299" s="3875"/>
      <c r="AA299" s="3875"/>
      <c r="AB299" s="3876"/>
      <c r="AC299" s="3874" t="s">
        <v>625</v>
      </c>
      <c r="AD299" s="3875"/>
      <c r="AE299" s="3875"/>
      <c r="AF299" s="3875"/>
      <c r="AG299" s="3875"/>
      <c r="AH299" s="3875"/>
      <c r="AI299" s="3875"/>
      <c r="AJ299" s="3874"/>
      <c r="AK299" s="3875"/>
      <c r="AL299" s="3875"/>
      <c r="AM299" s="3875"/>
      <c r="AN299" s="3875"/>
      <c r="AO299" s="3875"/>
      <c r="AP299" s="3876"/>
      <c r="AQ299" s="3874"/>
      <c r="AR299" s="3875"/>
      <c r="AS299" s="3875"/>
      <c r="AT299" s="3875"/>
      <c r="AU299" s="3875"/>
      <c r="AV299" s="3875"/>
      <c r="AW299" s="3876"/>
      <c r="AX299" s="3874"/>
      <c r="AY299" s="3875"/>
      <c r="AZ299" s="3875"/>
      <c r="BA299" s="3875"/>
      <c r="BB299" s="3875"/>
      <c r="BC299" s="3875"/>
      <c r="BD299" s="3876"/>
      <c r="BE299" s="3874"/>
      <c r="BF299" s="3875"/>
      <c r="BG299" s="3875"/>
      <c r="BH299" s="3875"/>
      <c r="BI299" s="3875"/>
      <c r="BJ299" s="3875"/>
      <c r="BK299" s="3876"/>
      <c r="BL299" s="3874"/>
      <c r="BM299" s="3875"/>
      <c r="BN299" s="3875"/>
      <c r="BO299" s="3875"/>
      <c r="BP299" s="3875"/>
      <c r="BQ299" s="3875"/>
      <c r="BR299" s="3876"/>
      <c r="BS299" s="3874"/>
      <c r="BT299" s="3875"/>
      <c r="BU299" s="3875"/>
      <c r="BV299" s="3875"/>
      <c r="BW299" s="3875"/>
      <c r="BX299" s="3875"/>
      <c r="BY299" s="3876"/>
      <c r="BZ299" s="3874"/>
      <c r="CA299" s="3875"/>
      <c r="CB299" s="3875"/>
      <c r="CC299" s="3875"/>
      <c r="CD299" s="3875"/>
      <c r="CE299" s="3875"/>
      <c r="CF299" s="3876"/>
      <c r="CG299" s="3874"/>
      <c r="CH299" s="3875"/>
      <c r="CI299" s="3875"/>
      <c r="CJ299" s="3875"/>
      <c r="CK299" s="3875"/>
      <c r="CL299" s="3875"/>
      <c r="CM299" s="3876"/>
      <c r="CN299" s="3874"/>
      <c r="CO299" s="3875"/>
      <c r="CP299" s="3875"/>
      <c r="CQ299" s="3875"/>
      <c r="CR299" s="3875"/>
      <c r="CS299" s="3875"/>
      <c r="CT299" s="3876"/>
      <c r="CU299" s="3876"/>
      <c r="CV299" s="4195" t="s">
        <v>614</v>
      </c>
      <c r="CW299" s="4093"/>
      <c r="CX299" s="4196"/>
      <c r="CY299" s="4196" t="str">
        <f>IF(T299="","",T299)</f>
        <v>Группа потребителей</v>
      </c>
      <c r="CZ299" s="4196"/>
      <c r="DA299" s="4196"/>
      <c r="DB299" s="3858">
        <v>0</v>
      </c>
    </row>
    <row s="10133" customFormat="1" customHeight="1" ht="23.25">
      <c r="A300" s="4183"/>
      <c r="B300" s="4183"/>
      <c r="C300" s="4183"/>
      <c r="D300" s="4183"/>
      <c r="E300" s="4184"/>
      <c r="F300" s="4184" t="s">
        <v>160</v>
      </c>
      <c r="G300" s="4184"/>
      <c r="H300" s="4184"/>
      <c r="I300" s="4185"/>
      <c r="J300" s="4185"/>
      <c r="K300" s="4186" t="str">
        <f>J299&amp;".1"</f>
        <v>1.14.1.1.1.1</v>
      </c>
      <c r="L300" s="4187"/>
      <c r="M300" s="4188"/>
      <c r="N300" s="4188"/>
      <c r="O300" s="4188"/>
      <c r="P300" s="4189"/>
      <c r="Q300" s="4189"/>
      <c r="R300" s="4191">
        <v>1</v>
      </c>
      <c r="S300" s="4192" t="str">
        <f>$K300</f>
        <v>1.14.1.1.1.1</v>
      </c>
      <c r="T300" s="4198"/>
      <c r="U300" s="4194"/>
      <c r="V300" s="3878"/>
      <c r="W300" s="3878"/>
      <c r="X300" s="3879"/>
      <c r="Y300" s="3880"/>
      <c r="Z300" s="3881" t="s">
        <v>65</v>
      </c>
      <c r="AA300" s="3880"/>
      <c r="AB300" s="3881" t="s">
        <v>65</v>
      </c>
      <c r="AC300" s="3878">
        <v>51.99</v>
      </c>
      <c r="AD300" s="3878"/>
      <c r="AE300" s="3879"/>
      <c r="AF300" s="3880">
        <v>45292</v>
      </c>
      <c r="AG300" s="3881" t="s">
        <v>65</v>
      </c>
      <c r="AH300" s="4116">
        <v>45473</v>
      </c>
      <c r="AI300" s="3881" t="s">
        <v>65</v>
      </c>
      <c r="AJ300" s="3878">
        <v>54.69</v>
      </c>
      <c r="AK300" s="3878"/>
      <c r="AL300" s="3879"/>
      <c r="AM300" s="3880">
        <v>45474</v>
      </c>
      <c r="AN300" s="3881" t="s">
        <v>65</v>
      </c>
      <c r="AO300" s="3880">
        <v>45657</v>
      </c>
      <c r="AP300" s="3881" t="s">
        <v>65</v>
      </c>
      <c r="AQ300" s="3878">
        <v>54.69</v>
      </c>
      <c r="AR300" s="3878"/>
      <c r="AS300" s="3879"/>
      <c r="AT300" s="3880">
        <v>45658</v>
      </c>
      <c r="AU300" s="3881" t="s">
        <v>65</v>
      </c>
      <c r="AV300" s="3880">
        <v>45838</v>
      </c>
      <c r="AW300" s="3881" t="s">
        <v>65</v>
      </c>
      <c r="AX300" s="3878">
        <v>60.3</v>
      </c>
      <c r="AY300" s="3878"/>
      <c r="AZ300" s="3879"/>
      <c r="BA300" s="3880">
        <v>45839</v>
      </c>
      <c r="BB300" s="3881" t="s">
        <v>65</v>
      </c>
      <c r="BC300" s="3880">
        <v>46022</v>
      </c>
      <c r="BD300" s="3881" t="s">
        <v>65</v>
      </c>
      <c r="BE300" s="3878">
        <v>57.81</v>
      </c>
      <c r="BF300" s="3878"/>
      <c r="BG300" s="3879"/>
      <c r="BH300" s="3880">
        <v>46023</v>
      </c>
      <c r="BI300" s="3881" t="s">
        <v>65</v>
      </c>
      <c r="BJ300" s="3880">
        <v>46203</v>
      </c>
      <c r="BK300" s="3881" t="s">
        <v>65</v>
      </c>
      <c r="BL300" s="3878">
        <v>60.12</v>
      </c>
      <c r="BM300" s="3878"/>
      <c r="BN300" s="3879"/>
      <c r="BO300" s="3880">
        <v>46204</v>
      </c>
      <c r="BP300" s="3881" t="s">
        <v>65</v>
      </c>
      <c r="BQ300" s="3880">
        <v>46387</v>
      </c>
      <c r="BR300" s="3881" t="s">
        <v>65</v>
      </c>
      <c r="BS300" s="3878">
        <v>60.12</v>
      </c>
      <c r="BT300" s="3878"/>
      <c r="BU300" s="3879"/>
      <c r="BV300" s="3880">
        <v>46388</v>
      </c>
      <c r="BW300" s="3881" t="s">
        <v>65</v>
      </c>
      <c r="BX300" s="3880">
        <v>46568</v>
      </c>
      <c r="BY300" s="3881" t="s">
        <v>65</v>
      </c>
      <c r="BZ300" s="3878">
        <v>62.52</v>
      </c>
      <c r="CA300" s="3878"/>
      <c r="CB300" s="3879"/>
      <c r="CC300" s="3880">
        <v>46569</v>
      </c>
      <c r="CD300" s="3881" t="s">
        <v>65</v>
      </c>
      <c r="CE300" s="3880">
        <v>46752</v>
      </c>
      <c r="CF300" s="3881" t="s">
        <v>65</v>
      </c>
      <c r="CG300" s="3878">
        <v>62.52</v>
      </c>
      <c r="CH300" s="3878"/>
      <c r="CI300" s="3879"/>
      <c r="CJ300" s="3880">
        <v>46753</v>
      </c>
      <c r="CK300" s="3881" t="s">
        <v>65</v>
      </c>
      <c r="CL300" s="3880">
        <v>46934</v>
      </c>
      <c r="CM300" s="3881" t="s">
        <v>65</v>
      </c>
      <c r="CN300" s="3878">
        <v>65.02</v>
      </c>
      <c r="CO300" s="3878"/>
      <c r="CP300" s="3879"/>
      <c r="CQ300" s="3880">
        <v>46935</v>
      </c>
      <c r="CR300" s="3881" t="s">
        <v>65</v>
      </c>
      <c r="CS300" s="3880">
        <v>47118</v>
      </c>
      <c r="CT300" s="3881" t="s">
        <v>65</v>
      </c>
      <c r="CU300" s="4199"/>
      <c r="CV30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00" s="4093">
        <f>STRCHECKDATE(V301:CU301)</f>
      </c>
      <c r="CX300" s="4196"/>
      <c r="CY300" s="4196" t="str">
        <f>IF(T300="","",T300)</f>
        <v/>
      </c>
      <c r="CZ300" s="4196"/>
      <c r="DA300" s="4196"/>
      <c r="DB300" s="3858">
        <v>0</v>
      </c>
    </row>
    <row s="10134" customFormat="1" customHeight="1" ht="14.25">
      <c r="A301" s="4183"/>
      <c r="B301" s="4183"/>
      <c r="C301" s="4183"/>
      <c r="D301" s="4183"/>
      <c r="E301" s="4184"/>
      <c r="F301" s="4184" t="s">
        <v>160</v>
      </c>
      <c r="G301" s="4184"/>
      <c r="H301" s="4184"/>
      <c r="I301" s="4185"/>
      <c r="J301" s="4185"/>
      <c r="K301" s="4186"/>
      <c r="L301" s="4187"/>
      <c r="M301" s="4188"/>
      <c r="N301" s="4188"/>
      <c r="O301" s="4188"/>
      <c r="P301" s="4189"/>
      <c r="Q301" s="4189"/>
      <c r="R301" s="4191"/>
      <c r="S301" s="4202"/>
      <c r="T301" s="4194"/>
      <c r="U301" s="4194"/>
      <c r="V301" s="3885"/>
      <c r="W301" s="3885"/>
      <c r="X301" s="3886" t="str">
        <f>Y300&amp;"-"&amp;AA300</f>
        <v>-</v>
      </c>
      <c r="Y301" s="3887"/>
      <c r="Z301" s="3881"/>
      <c r="AA301" s="3887"/>
      <c r="AB301" s="3881"/>
      <c r="AC301" s="3885"/>
      <c r="AD301" s="3885"/>
      <c r="AE301" s="3886" t="str">
        <f>AF300&amp;"-"&amp;AH300</f>
        <v>45292-45473</v>
      </c>
      <c r="AF301" s="3887"/>
      <c r="AG301" s="3881"/>
      <c r="AH301" s="4118"/>
      <c r="AI301" s="3881"/>
      <c r="AJ301" s="3885"/>
      <c r="AK301" s="3885"/>
      <c r="AL301" s="3886" t="str">
        <f>AM300&amp;"-"&amp;AO300</f>
        <v>45474-45657</v>
      </c>
      <c r="AM301" s="3887"/>
      <c r="AN301" s="3881"/>
      <c r="AO301" s="3887"/>
      <c r="AP301" s="3881"/>
      <c r="AQ301" s="3885"/>
      <c r="AR301" s="3885"/>
      <c r="AS301" s="3886" t="str">
        <f>AT300&amp;"-"&amp;AV300</f>
        <v>45658-45838</v>
      </c>
      <c r="AT301" s="3887"/>
      <c r="AU301" s="3881"/>
      <c r="AV301" s="3887"/>
      <c r="AW301" s="3881"/>
      <c r="AX301" s="3885"/>
      <c r="AY301" s="3885"/>
      <c r="AZ301" s="3886" t="str">
        <f>BA300&amp;"-"&amp;BC300</f>
        <v>45839-46022</v>
      </c>
      <c r="BA301" s="3887"/>
      <c r="BB301" s="3881"/>
      <c r="BC301" s="3887"/>
      <c r="BD301" s="3881"/>
      <c r="BE301" s="3885"/>
      <c r="BF301" s="3885"/>
      <c r="BG301" s="3886" t="str">
        <f>BH300&amp;"-"&amp;BJ300</f>
        <v>46023-46203</v>
      </c>
      <c r="BH301" s="3887"/>
      <c r="BI301" s="3881"/>
      <c r="BJ301" s="3887"/>
      <c r="BK301" s="3881"/>
      <c r="BL301" s="3885"/>
      <c r="BM301" s="3885"/>
      <c r="BN301" s="3886" t="str">
        <f>BO300&amp;"-"&amp;BQ300</f>
        <v>46204-46387</v>
      </c>
      <c r="BO301" s="3887"/>
      <c r="BP301" s="3881"/>
      <c r="BQ301" s="3887"/>
      <c r="BR301" s="3881"/>
      <c r="BS301" s="3885"/>
      <c r="BT301" s="3885"/>
      <c r="BU301" s="3886" t="str">
        <f>BV300&amp;"-"&amp;BX300</f>
        <v>46388-46568</v>
      </c>
      <c r="BV301" s="3887"/>
      <c r="BW301" s="3881"/>
      <c r="BX301" s="3887"/>
      <c r="BY301" s="3881"/>
      <c r="BZ301" s="3885"/>
      <c r="CA301" s="3885"/>
      <c r="CB301" s="3886" t="str">
        <f>CC300&amp;"-"&amp;CE300</f>
        <v>46569-46752</v>
      </c>
      <c r="CC301" s="3887"/>
      <c r="CD301" s="3881"/>
      <c r="CE301" s="3887"/>
      <c r="CF301" s="3881"/>
      <c r="CG301" s="3885"/>
      <c r="CH301" s="3885"/>
      <c r="CI301" s="3886" t="str">
        <f>CJ300&amp;"-"&amp;CL300</f>
        <v>46753-46934</v>
      </c>
      <c r="CJ301" s="3887"/>
      <c r="CK301" s="3881"/>
      <c r="CL301" s="3887"/>
      <c r="CM301" s="3881"/>
      <c r="CN301" s="3885"/>
      <c r="CO301" s="3885"/>
      <c r="CP301" s="3886" t="str">
        <f>CQ300&amp;"-"&amp;CS300</f>
        <v>46935-47118</v>
      </c>
      <c r="CQ301" s="3887"/>
      <c r="CR301" s="3881"/>
      <c r="CS301" s="3887"/>
      <c r="CT301" s="3881"/>
      <c r="CU301" s="4203"/>
      <c r="CV301" s="4200"/>
      <c r="CW301" s="4093"/>
      <c r="CX301" s="4196"/>
      <c r="CY301" s="4196" t="str">
        <f>IF(T301="","",T301)</f>
        <v/>
      </c>
      <c r="CZ301" s="4196"/>
      <c r="DA301" s="4196"/>
      <c r="DB301" s="3858">
        <v>0</v>
      </c>
    </row>
    <row s="10135" customFormat="1" customHeight="1" ht="21">
      <c r="A302" s="4183"/>
      <c r="B302" s="4183"/>
      <c r="C302" s="4183"/>
      <c r="D302" s="4183"/>
      <c r="E302" s="4184"/>
      <c r="F302" s="4184" t="s">
        <v>160</v>
      </c>
      <c r="G302" s="4184"/>
      <c r="H302" s="4184"/>
      <c r="I302" s="4185"/>
      <c r="J302" s="4186"/>
      <c r="K302" s="4183"/>
      <c r="L302" s="4187"/>
      <c r="M302" s="4188"/>
      <c r="N302" s="4188"/>
      <c r="O302" s="4188"/>
      <c r="P302" s="4189"/>
      <c r="Q302" s="4189"/>
      <c r="R302" s="4205"/>
      <c r="S302" s="10136"/>
      <c r="T302" s="10137" t="s">
        <v>615</v>
      </c>
      <c r="U302" s="10138"/>
      <c r="V302" s="10139"/>
      <c r="W302" s="10140"/>
      <c r="X302" s="10141"/>
      <c r="Y302" s="10142"/>
      <c r="Z302" s="10143"/>
      <c r="AA302" s="10144"/>
      <c r="AB302" s="10145"/>
      <c r="AC302" s="10146"/>
      <c r="AD302" s="10147"/>
      <c r="AE302" s="10148"/>
      <c r="AF302" s="10149"/>
      <c r="AG302" s="10150"/>
      <c r="AH302" s="10151"/>
      <c r="AI302" s="10152"/>
      <c r="AJ302" s="10153"/>
      <c r="AK302" s="10154"/>
      <c r="AL302" s="10155"/>
      <c r="AM302" s="10156"/>
      <c r="AN302" s="10157"/>
      <c r="AO302" s="10158"/>
      <c r="AP302" s="10159"/>
      <c r="AQ302" s="10160"/>
      <c r="AR302" s="10161"/>
      <c r="AS302" s="10162"/>
      <c r="AT302" s="10163"/>
      <c r="AU302" s="10164"/>
      <c r="AV302" s="10165"/>
      <c r="AW302" s="10166"/>
      <c r="AX302" s="10167"/>
      <c r="AY302" s="10168"/>
      <c r="AZ302" s="10169"/>
      <c r="BA302" s="10170"/>
      <c r="BB302" s="10171"/>
      <c r="BC302" s="10172"/>
      <c r="BD302" s="10173"/>
      <c r="BE302" s="10174"/>
      <c r="BF302" s="10175"/>
      <c r="BG302" s="10176"/>
      <c r="BH302" s="10177"/>
      <c r="BI302" s="10178"/>
      <c r="BJ302" s="10179"/>
      <c r="BK302" s="10180"/>
      <c r="BL302" s="10181"/>
      <c r="BM302" s="10182"/>
      <c r="BN302" s="10183"/>
      <c r="BO302" s="10184"/>
      <c r="BP302" s="10185"/>
      <c r="BQ302" s="10186"/>
      <c r="BR302" s="10187"/>
      <c r="BS302" s="10188"/>
      <c r="BT302" s="10189"/>
      <c r="BU302" s="10190"/>
      <c r="BV302" s="10191"/>
      <c r="BW302" s="10192"/>
      <c r="BX302" s="10193"/>
      <c r="BY302" s="10194"/>
      <c r="BZ302" s="10195"/>
      <c r="CA302" s="10196"/>
      <c r="CB302" s="10197"/>
      <c r="CC302" s="10198"/>
      <c r="CD302" s="10199"/>
      <c r="CE302" s="10200"/>
      <c r="CF302" s="10201"/>
      <c r="CG302" s="10202"/>
      <c r="CH302" s="10203"/>
      <c r="CI302" s="10204"/>
      <c r="CJ302" s="10205"/>
      <c r="CK302" s="10206"/>
      <c r="CL302" s="10207"/>
      <c r="CM302" s="10208"/>
      <c r="CN302" s="10209"/>
      <c r="CO302" s="10210"/>
      <c r="CP302" s="10211"/>
      <c r="CQ302" s="10212"/>
      <c r="CR302" s="10213"/>
      <c r="CS302" s="10214"/>
      <c r="CT302" s="10215"/>
      <c r="CU302" s="10216"/>
      <c r="CV302" s="4287" t="s">
        <v>616</v>
      </c>
      <c r="CW302" s="4093"/>
      <c r="CX302" s="4196"/>
      <c r="CY302" s="4196" t="str">
        <f>IF(T302="","",T302)</f>
        <v>Добавить значение признака дифференциации</v>
      </c>
      <c r="CZ302" s="4196"/>
      <c r="DA302" s="4196"/>
      <c r="DB302" s="3858">
        <v>0</v>
      </c>
    </row>
    <row s="10217" customFormat="1" customHeight="1" ht="23.25">
      <c r="A303" s="4183"/>
      <c r="B303" s="4183"/>
      <c r="C303" s="4183"/>
      <c r="D303" s="4183"/>
      <c r="E303" s="4184"/>
      <c r="F303" s="4184"/>
      <c r="G303" s="4184"/>
      <c r="H303" s="4184"/>
      <c r="I303" s="4185"/>
      <c r="J303" s="4186" t="str">
        <f>I298&amp;".2"</f>
        <v>1.14.1.1.2</v>
      </c>
      <c r="K303" s="4183"/>
      <c r="L303" s="4187" t="s">
        <v>538</v>
      </c>
      <c r="M303" s="4188"/>
      <c r="N303" s="4188"/>
      <c r="O303" s="4188"/>
      <c r="P303" s="4189"/>
      <c r="Q303" s="4190" t="s">
        <v>109</v>
      </c>
      <c r="R303" s="4191"/>
      <c r="S303" s="4192" t="str">
        <f>$J303</f>
        <v>1.14.1.1.2</v>
      </c>
      <c r="T303" s="4193" t="s">
        <v>539</v>
      </c>
      <c r="U303" s="4194"/>
      <c r="V303" s="3874"/>
      <c r="W303" s="3875"/>
      <c r="X303" s="3875"/>
      <c r="Y303" s="3875"/>
      <c r="Z303" s="3875"/>
      <c r="AA303" s="3875"/>
      <c r="AB303" s="3876"/>
      <c r="AC303" s="3874" t="s">
        <v>626</v>
      </c>
      <c r="AD303" s="3875"/>
      <c r="AE303" s="3875"/>
      <c r="AF303" s="3875"/>
      <c r="AG303" s="3875"/>
      <c r="AH303" s="3875"/>
      <c r="AI303" s="3875"/>
      <c r="AJ303" s="3874"/>
      <c r="AK303" s="3875"/>
      <c r="AL303" s="3875"/>
      <c r="AM303" s="3875"/>
      <c r="AN303" s="3875"/>
      <c r="AO303" s="3875"/>
      <c r="AP303" s="3876"/>
      <c r="AQ303" s="3874"/>
      <c r="AR303" s="3875"/>
      <c r="AS303" s="3875"/>
      <c r="AT303" s="3875"/>
      <c r="AU303" s="3875"/>
      <c r="AV303" s="3875"/>
      <c r="AW303" s="3876"/>
      <c r="AX303" s="3874"/>
      <c r="AY303" s="3875"/>
      <c r="AZ303" s="3875"/>
      <c r="BA303" s="3875"/>
      <c r="BB303" s="3875"/>
      <c r="BC303" s="3875"/>
      <c r="BD303" s="3876"/>
      <c r="BE303" s="3874"/>
      <c r="BF303" s="3875"/>
      <c r="BG303" s="3875"/>
      <c r="BH303" s="3875"/>
      <c r="BI303" s="3875"/>
      <c r="BJ303" s="3875"/>
      <c r="BK303" s="3876"/>
      <c r="BL303" s="3874"/>
      <c r="BM303" s="3875"/>
      <c r="BN303" s="3875"/>
      <c r="BO303" s="3875"/>
      <c r="BP303" s="3875"/>
      <c r="BQ303" s="3875"/>
      <c r="BR303" s="3876"/>
      <c r="BS303" s="3874"/>
      <c r="BT303" s="3875"/>
      <c r="BU303" s="3875"/>
      <c r="BV303" s="3875"/>
      <c r="BW303" s="3875"/>
      <c r="BX303" s="3875"/>
      <c r="BY303" s="3876"/>
      <c r="BZ303" s="3874"/>
      <c r="CA303" s="3875"/>
      <c r="CB303" s="3875"/>
      <c r="CC303" s="3875"/>
      <c r="CD303" s="3875"/>
      <c r="CE303" s="3875"/>
      <c r="CF303" s="3876"/>
      <c r="CG303" s="3874"/>
      <c r="CH303" s="3875"/>
      <c r="CI303" s="3875"/>
      <c r="CJ303" s="3875"/>
      <c r="CK303" s="3875"/>
      <c r="CL303" s="3875"/>
      <c r="CM303" s="3876"/>
      <c r="CN303" s="3874"/>
      <c r="CO303" s="3875"/>
      <c r="CP303" s="3875"/>
      <c r="CQ303" s="3875"/>
      <c r="CR303" s="3875"/>
      <c r="CS303" s="3875"/>
      <c r="CT303" s="3876"/>
      <c r="CU303" s="3876"/>
      <c r="CV303" s="4195" t="s">
        <v>614</v>
      </c>
      <c r="CW303" s="4093"/>
      <c r="CX303" s="4196"/>
      <c r="CY303" s="4196" t="str">
        <f>IF(T303="","",T303)</f>
        <v>Группа потребителей</v>
      </c>
      <c r="CZ303" s="4196"/>
      <c r="DA303" s="4196"/>
      <c r="DB303" s="3858">
        <v>0</v>
      </c>
    </row>
    <row s="10218" customFormat="1" customHeight="1" ht="23.25">
      <c r="A304" s="4183"/>
      <c r="B304" s="4183"/>
      <c r="C304" s="4183"/>
      <c r="D304" s="4183"/>
      <c r="E304" s="4184"/>
      <c r="F304" s="4184"/>
      <c r="G304" s="4184"/>
      <c r="H304" s="4184"/>
      <c r="I304" s="4185"/>
      <c r="J304" s="4185" t="str">
        <f>I298&amp;".1"</f>
        <v>1.14.1.1.1</v>
      </c>
      <c r="K304" s="4186" t="str">
        <f>J303&amp;".1"</f>
        <v>1.14.1.1.2.1</v>
      </c>
      <c r="L304" s="4187"/>
      <c r="M304" s="4188"/>
      <c r="N304" s="4188"/>
      <c r="O304" s="4188"/>
      <c r="P304" s="4189"/>
      <c r="Q304" s="4189"/>
      <c r="R304" s="4191">
        <v>1</v>
      </c>
      <c r="S304" s="4192" t="str">
        <f>$K304</f>
        <v>1.14.1.1.2.1</v>
      </c>
      <c r="T304" s="4198"/>
      <c r="U304" s="4194"/>
      <c r="V304" s="3878"/>
      <c r="W304" s="3878"/>
      <c r="X304" s="3879"/>
      <c r="Y304" s="3880"/>
      <c r="Z304" s="3881" t="s">
        <v>65</v>
      </c>
      <c r="AA304" s="3880"/>
      <c r="AB304" s="3881" t="s">
        <v>65</v>
      </c>
      <c r="AC304" s="3878">
        <v>51.99</v>
      </c>
      <c r="AD304" s="3878"/>
      <c r="AE304" s="3879"/>
      <c r="AF304" s="3880">
        <v>45292</v>
      </c>
      <c r="AG304" s="3881" t="s">
        <v>65</v>
      </c>
      <c r="AH304" s="4116">
        <v>45473</v>
      </c>
      <c r="AI304" s="3881" t="s">
        <v>65</v>
      </c>
      <c r="AJ304" s="3878">
        <v>54.69</v>
      </c>
      <c r="AK304" s="3878"/>
      <c r="AL304" s="3879"/>
      <c r="AM304" s="3880">
        <v>45474</v>
      </c>
      <c r="AN304" s="3881" t="s">
        <v>65</v>
      </c>
      <c r="AO304" s="3880">
        <v>45657</v>
      </c>
      <c r="AP304" s="3881" t="s">
        <v>65</v>
      </c>
      <c r="AQ304" s="3878">
        <v>54.69</v>
      </c>
      <c r="AR304" s="3878"/>
      <c r="AS304" s="3879"/>
      <c r="AT304" s="3880">
        <v>45658</v>
      </c>
      <c r="AU304" s="3881" t="s">
        <v>65</v>
      </c>
      <c r="AV304" s="3880">
        <v>45838</v>
      </c>
      <c r="AW304" s="3881" t="s">
        <v>65</v>
      </c>
      <c r="AX304" s="3878">
        <v>57.43</v>
      </c>
      <c r="AY304" s="3878"/>
      <c r="AZ304" s="3879"/>
      <c r="BA304" s="3880">
        <v>45839</v>
      </c>
      <c r="BB304" s="3881" t="s">
        <v>65</v>
      </c>
      <c r="BC304" s="3880">
        <v>46022</v>
      </c>
      <c r="BD304" s="3881" t="s">
        <v>65</v>
      </c>
      <c r="BE304" s="3878">
        <v>62.55</v>
      </c>
      <c r="BF304" s="3878"/>
      <c r="BG304" s="3879"/>
      <c r="BH304" s="3880">
        <v>46023</v>
      </c>
      <c r="BI304" s="3881" t="s">
        <v>65</v>
      </c>
      <c r="BJ304" s="3880">
        <v>46203</v>
      </c>
      <c r="BK304" s="3881" t="s">
        <v>65</v>
      </c>
      <c r="BL304" s="3878">
        <v>68.84</v>
      </c>
      <c r="BM304" s="3878"/>
      <c r="BN304" s="3879"/>
      <c r="BO304" s="3880">
        <v>46204</v>
      </c>
      <c r="BP304" s="3881" t="s">
        <v>65</v>
      </c>
      <c r="BQ304" s="3880">
        <v>46387</v>
      </c>
      <c r="BR304" s="3881" t="s">
        <v>65</v>
      </c>
      <c r="BS304" s="3878">
        <v>68.84</v>
      </c>
      <c r="BT304" s="3878"/>
      <c r="BU304" s="3879"/>
      <c r="BV304" s="3880">
        <v>46388</v>
      </c>
      <c r="BW304" s="3881" t="s">
        <v>65</v>
      </c>
      <c r="BX304" s="3880">
        <v>46568</v>
      </c>
      <c r="BY304" s="3881" t="s">
        <v>65</v>
      </c>
      <c r="BZ304" s="3878">
        <v>74.46</v>
      </c>
      <c r="CA304" s="3878"/>
      <c r="CB304" s="3879"/>
      <c r="CC304" s="3880">
        <v>46569</v>
      </c>
      <c r="CD304" s="3881" t="s">
        <v>65</v>
      </c>
      <c r="CE304" s="3880">
        <v>46752</v>
      </c>
      <c r="CF304" s="3881" t="s">
        <v>65</v>
      </c>
      <c r="CG304" s="3878">
        <v>74.46</v>
      </c>
      <c r="CH304" s="3878"/>
      <c r="CI304" s="3879"/>
      <c r="CJ304" s="3880">
        <v>46753</v>
      </c>
      <c r="CK304" s="3881" t="s">
        <v>65</v>
      </c>
      <c r="CL304" s="3880">
        <v>46934</v>
      </c>
      <c r="CM304" s="3881" t="s">
        <v>65</v>
      </c>
      <c r="CN304" s="3878">
        <v>81.66</v>
      </c>
      <c r="CO304" s="3878"/>
      <c r="CP304" s="3879"/>
      <c r="CQ304" s="3880">
        <v>46935</v>
      </c>
      <c r="CR304" s="3881" t="s">
        <v>65</v>
      </c>
      <c r="CS304" s="3880">
        <v>47118</v>
      </c>
      <c r="CT304" s="3881" t="s">
        <v>65</v>
      </c>
      <c r="CU304" s="4199"/>
      <c r="CV30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04" s="4093">
        <f>STRCHECKDATE(V305:CU305)</f>
      </c>
      <c r="CX304" s="4196"/>
      <c r="CY304" s="4196" t="str">
        <f>IF(T304="","",T304)</f>
        <v/>
      </c>
      <c r="CZ304" s="4196"/>
      <c r="DA304" s="4196"/>
      <c r="DB304" s="3858">
        <v>0</v>
      </c>
    </row>
    <row s="10219" customFormat="1" customHeight="1" ht="14.25">
      <c r="A305" s="4183"/>
      <c r="B305" s="4183"/>
      <c r="C305" s="4183"/>
      <c r="D305" s="4183"/>
      <c r="E305" s="4184"/>
      <c r="F305" s="4184"/>
      <c r="G305" s="4184"/>
      <c r="H305" s="4184"/>
      <c r="I305" s="4185"/>
      <c r="J305" s="4185" t="str">
        <f>I298&amp;".1"</f>
        <v>1.14.1.1.1</v>
      </c>
      <c r="K305" s="4186"/>
      <c r="L305" s="4187"/>
      <c r="M305" s="4188"/>
      <c r="N305" s="4188"/>
      <c r="O305" s="4188"/>
      <c r="P305" s="4189"/>
      <c r="Q305" s="4189"/>
      <c r="R305" s="4191"/>
      <c r="S305" s="4202"/>
      <c r="T305" s="4194"/>
      <c r="U305" s="4194"/>
      <c r="V305" s="3885"/>
      <c r="W305" s="3885"/>
      <c r="X305" s="3886" t="str">
        <f>Y304&amp;"-"&amp;AA304</f>
        <v>-</v>
      </c>
      <c r="Y305" s="3887"/>
      <c r="Z305" s="3881"/>
      <c r="AA305" s="3887"/>
      <c r="AB305" s="3881"/>
      <c r="AC305" s="3885"/>
      <c r="AD305" s="3885"/>
      <c r="AE305" s="3886" t="str">
        <f>AF304&amp;"-"&amp;AH304</f>
        <v>45292-45473</v>
      </c>
      <c r="AF305" s="3887"/>
      <c r="AG305" s="3881"/>
      <c r="AH305" s="4118"/>
      <c r="AI305" s="3881"/>
      <c r="AJ305" s="3885"/>
      <c r="AK305" s="3885"/>
      <c r="AL305" s="3886" t="str">
        <f>AM304&amp;"-"&amp;AO304</f>
        <v>45474-45657</v>
      </c>
      <c r="AM305" s="3887"/>
      <c r="AN305" s="3881"/>
      <c r="AO305" s="3887"/>
      <c r="AP305" s="3881"/>
      <c r="AQ305" s="3885"/>
      <c r="AR305" s="3885"/>
      <c r="AS305" s="3886" t="str">
        <f>AT304&amp;"-"&amp;AV304</f>
        <v>45658-45838</v>
      </c>
      <c r="AT305" s="3887"/>
      <c r="AU305" s="3881"/>
      <c r="AV305" s="3887"/>
      <c r="AW305" s="3881"/>
      <c r="AX305" s="3885"/>
      <c r="AY305" s="3885"/>
      <c r="AZ305" s="3886" t="str">
        <f>BA304&amp;"-"&amp;BC304</f>
        <v>45839-46022</v>
      </c>
      <c r="BA305" s="3887"/>
      <c r="BB305" s="3881"/>
      <c r="BC305" s="3887"/>
      <c r="BD305" s="3881"/>
      <c r="BE305" s="3885"/>
      <c r="BF305" s="3885"/>
      <c r="BG305" s="3886" t="str">
        <f>BH304&amp;"-"&amp;BJ304</f>
        <v>46023-46203</v>
      </c>
      <c r="BH305" s="3887"/>
      <c r="BI305" s="3881"/>
      <c r="BJ305" s="3887"/>
      <c r="BK305" s="3881"/>
      <c r="BL305" s="3885"/>
      <c r="BM305" s="3885"/>
      <c r="BN305" s="3886" t="str">
        <f>BO304&amp;"-"&amp;BQ304</f>
        <v>46204-46387</v>
      </c>
      <c r="BO305" s="3887"/>
      <c r="BP305" s="3881"/>
      <c r="BQ305" s="3887"/>
      <c r="BR305" s="3881"/>
      <c r="BS305" s="3885"/>
      <c r="BT305" s="3885"/>
      <c r="BU305" s="3886" t="str">
        <f>BV304&amp;"-"&amp;BX304</f>
        <v>46388-46568</v>
      </c>
      <c r="BV305" s="3887"/>
      <c r="BW305" s="3881"/>
      <c r="BX305" s="3887"/>
      <c r="BY305" s="3881"/>
      <c r="BZ305" s="3885"/>
      <c r="CA305" s="3885"/>
      <c r="CB305" s="3886" t="str">
        <f>CC304&amp;"-"&amp;CE304</f>
        <v>46569-46752</v>
      </c>
      <c r="CC305" s="3887"/>
      <c r="CD305" s="3881"/>
      <c r="CE305" s="3887"/>
      <c r="CF305" s="3881"/>
      <c r="CG305" s="3885"/>
      <c r="CH305" s="3885"/>
      <c r="CI305" s="3886" t="str">
        <f>CJ304&amp;"-"&amp;CL304</f>
        <v>46753-46934</v>
      </c>
      <c r="CJ305" s="3887"/>
      <c r="CK305" s="3881"/>
      <c r="CL305" s="3887"/>
      <c r="CM305" s="3881"/>
      <c r="CN305" s="3885"/>
      <c r="CO305" s="3885"/>
      <c r="CP305" s="3886" t="str">
        <f>CQ304&amp;"-"&amp;CS304</f>
        <v>46935-47118</v>
      </c>
      <c r="CQ305" s="3887"/>
      <c r="CR305" s="3881"/>
      <c r="CS305" s="3887"/>
      <c r="CT305" s="3881"/>
      <c r="CU305" s="4203"/>
      <c r="CV305" s="4200"/>
      <c r="CW305" s="4093"/>
      <c r="CX305" s="4196"/>
      <c r="CY305" s="4196" t="str">
        <f>IF(T305="","",T305)</f>
        <v/>
      </c>
      <c r="CZ305" s="4196"/>
      <c r="DA305" s="4196"/>
      <c r="DB305" s="3858">
        <v>0</v>
      </c>
    </row>
    <row s="10220" customFormat="1" customHeight="1" ht="21">
      <c r="A306" s="4183"/>
      <c r="B306" s="4183"/>
      <c r="C306" s="4183"/>
      <c r="D306" s="4183"/>
      <c r="E306" s="4184"/>
      <c r="F306" s="4184"/>
      <c r="G306" s="4184"/>
      <c r="H306" s="4184"/>
      <c r="I306" s="4185"/>
      <c r="J306" s="4186" t="str">
        <f>I298&amp;".1"</f>
        <v>1.14.1.1.1</v>
      </c>
      <c r="K306" s="4183"/>
      <c r="L306" s="4187"/>
      <c r="M306" s="4188"/>
      <c r="N306" s="4188"/>
      <c r="O306" s="4188"/>
      <c r="P306" s="4189"/>
      <c r="Q306" s="4189"/>
      <c r="R306" s="4205"/>
      <c r="S306" s="10221"/>
      <c r="T306" s="10222" t="s">
        <v>615</v>
      </c>
      <c r="U306" s="10223"/>
      <c r="V306" s="10224"/>
      <c r="W306" s="10225"/>
      <c r="X306" s="10226"/>
      <c r="Y306" s="10227"/>
      <c r="Z306" s="10228"/>
      <c r="AA306" s="10229"/>
      <c r="AB306" s="10230"/>
      <c r="AC306" s="10231"/>
      <c r="AD306" s="10232"/>
      <c r="AE306" s="10233"/>
      <c r="AF306" s="10234"/>
      <c r="AG306" s="10235"/>
      <c r="AH306" s="10236"/>
      <c r="AI306" s="10237"/>
      <c r="AJ306" s="10238"/>
      <c r="AK306" s="10239"/>
      <c r="AL306" s="10240"/>
      <c r="AM306" s="10241"/>
      <c r="AN306" s="10242"/>
      <c r="AO306" s="10243"/>
      <c r="AP306" s="10244"/>
      <c r="AQ306" s="10245"/>
      <c r="AR306" s="10246"/>
      <c r="AS306" s="10247"/>
      <c r="AT306" s="10248"/>
      <c r="AU306" s="10249"/>
      <c r="AV306" s="10250"/>
      <c r="AW306" s="10251"/>
      <c r="AX306" s="10252"/>
      <c r="AY306" s="10253"/>
      <c r="AZ306" s="10254"/>
      <c r="BA306" s="10255"/>
      <c r="BB306" s="10256"/>
      <c r="BC306" s="10257"/>
      <c r="BD306" s="10258"/>
      <c r="BE306" s="10259"/>
      <c r="BF306" s="10260"/>
      <c r="BG306" s="10261"/>
      <c r="BH306" s="10262"/>
      <c r="BI306" s="10263"/>
      <c r="BJ306" s="10264"/>
      <c r="BK306" s="10265"/>
      <c r="BL306" s="10266"/>
      <c r="BM306" s="10267"/>
      <c r="BN306" s="10268"/>
      <c r="BO306" s="10269"/>
      <c r="BP306" s="10270"/>
      <c r="BQ306" s="10271"/>
      <c r="BR306" s="10272"/>
      <c r="BS306" s="10273"/>
      <c r="BT306" s="10274"/>
      <c r="BU306" s="10275"/>
      <c r="BV306" s="10276"/>
      <c r="BW306" s="10277"/>
      <c r="BX306" s="10278"/>
      <c r="BY306" s="10279"/>
      <c r="BZ306" s="10280"/>
      <c r="CA306" s="10281"/>
      <c r="CB306" s="10282"/>
      <c r="CC306" s="10283"/>
      <c r="CD306" s="10284"/>
      <c r="CE306" s="10285"/>
      <c r="CF306" s="10286"/>
      <c r="CG306" s="10287"/>
      <c r="CH306" s="10288"/>
      <c r="CI306" s="10289"/>
      <c r="CJ306" s="10290"/>
      <c r="CK306" s="10291"/>
      <c r="CL306" s="10292"/>
      <c r="CM306" s="10293"/>
      <c r="CN306" s="10294"/>
      <c r="CO306" s="10295"/>
      <c r="CP306" s="10296"/>
      <c r="CQ306" s="10297"/>
      <c r="CR306" s="10298"/>
      <c r="CS306" s="10299"/>
      <c r="CT306" s="10300"/>
      <c r="CU306" s="10301"/>
      <c r="CV306" s="4287" t="s">
        <v>616</v>
      </c>
      <c r="CW306" s="4093"/>
      <c r="CX306" s="4196"/>
      <c r="CY306" s="4196" t="str">
        <f>IF(T306="","",T306)</f>
        <v>Добавить значение признака дифференциации</v>
      </c>
      <c r="CZ306" s="4196"/>
      <c r="DA306" s="4196"/>
      <c r="DB306" s="3858">
        <v>0</v>
      </c>
    </row>
    <row s="10302" customFormat="1" customHeight="1" ht="23.25">
      <c r="A307" s="4183"/>
      <c r="B307" s="4183"/>
      <c r="C307" s="4183"/>
      <c r="D307" s="4183"/>
      <c r="E307" s="4184"/>
      <c r="F307" s="4184"/>
      <c r="G307" s="4184"/>
      <c r="H307" s="4184"/>
      <c r="I307" s="4185"/>
      <c r="J307" s="4186" t="str">
        <f>I298&amp;".3"</f>
        <v>1.14.1.1.3</v>
      </c>
      <c r="K307" s="4183"/>
      <c r="L307" s="4187" t="s">
        <v>538</v>
      </c>
      <c r="M307" s="4188"/>
      <c r="N307" s="4188"/>
      <c r="O307" s="4188"/>
      <c r="P307" s="4189"/>
      <c r="Q307" s="4190" t="s">
        <v>109</v>
      </c>
      <c r="R307" s="4191"/>
      <c r="S307" s="4192" t="str">
        <f>$J307</f>
        <v>1.14.1.1.3</v>
      </c>
      <c r="T307" s="4193" t="s">
        <v>539</v>
      </c>
      <c r="U307" s="4194"/>
      <c r="V307" s="3874"/>
      <c r="W307" s="3875"/>
      <c r="X307" s="3875"/>
      <c r="Y307" s="3875"/>
      <c r="Z307" s="3875"/>
      <c r="AA307" s="3875"/>
      <c r="AB307" s="3876"/>
      <c r="AC307" s="3874" t="s">
        <v>627</v>
      </c>
      <c r="AD307" s="3875"/>
      <c r="AE307" s="3875"/>
      <c r="AF307" s="3875"/>
      <c r="AG307" s="3875"/>
      <c r="AH307" s="3875"/>
      <c r="AI307" s="3875"/>
      <c r="AJ307" s="3874"/>
      <c r="AK307" s="3875"/>
      <c r="AL307" s="3875"/>
      <c r="AM307" s="3875"/>
      <c r="AN307" s="3875"/>
      <c r="AO307" s="3875"/>
      <c r="AP307" s="3876"/>
      <c r="AQ307" s="3874"/>
      <c r="AR307" s="3875"/>
      <c r="AS307" s="3875"/>
      <c r="AT307" s="3875"/>
      <c r="AU307" s="3875"/>
      <c r="AV307" s="3875"/>
      <c r="AW307" s="3876"/>
      <c r="AX307" s="3874"/>
      <c r="AY307" s="3875"/>
      <c r="AZ307" s="3875"/>
      <c r="BA307" s="3875"/>
      <c r="BB307" s="3875"/>
      <c r="BC307" s="3875"/>
      <c r="BD307" s="3876"/>
      <c r="BE307" s="3874"/>
      <c r="BF307" s="3875"/>
      <c r="BG307" s="3875"/>
      <c r="BH307" s="3875"/>
      <c r="BI307" s="3875"/>
      <c r="BJ307" s="3875"/>
      <c r="BK307" s="3876"/>
      <c r="BL307" s="3874"/>
      <c r="BM307" s="3875"/>
      <c r="BN307" s="3875"/>
      <c r="BO307" s="3875"/>
      <c r="BP307" s="3875"/>
      <c r="BQ307" s="3875"/>
      <c r="BR307" s="3876"/>
      <c r="BS307" s="3874"/>
      <c r="BT307" s="3875"/>
      <c r="BU307" s="3875"/>
      <c r="BV307" s="3875"/>
      <c r="BW307" s="3875"/>
      <c r="BX307" s="3875"/>
      <c r="BY307" s="3876"/>
      <c r="BZ307" s="3874"/>
      <c r="CA307" s="3875"/>
      <c r="CB307" s="3875"/>
      <c r="CC307" s="3875"/>
      <c r="CD307" s="3875"/>
      <c r="CE307" s="3875"/>
      <c r="CF307" s="3876"/>
      <c r="CG307" s="3874"/>
      <c r="CH307" s="3875"/>
      <c r="CI307" s="3875"/>
      <c r="CJ307" s="3875"/>
      <c r="CK307" s="3875"/>
      <c r="CL307" s="3875"/>
      <c r="CM307" s="3876"/>
      <c r="CN307" s="3874"/>
      <c r="CO307" s="3875"/>
      <c r="CP307" s="3875"/>
      <c r="CQ307" s="3875"/>
      <c r="CR307" s="3875"/>
      <c r="CS307" s="3875"/>
      <c r="CT307" s="3876"/>
      <c r="CU307" s="3876"/>
      <c r="CV307" s="4195" t="s">
        <v>614</v>
      </c>
      <c r="CW307" s="4093"/>
      <c r="CX307" s="4196"/>
      <c r="CY307" s="4196" t="str">
        <f>IF(T307="","",T307)</f>
        <v>Группа потребителей</v>
      </c>
      <c r="CZ307" s="4196"/>
      <c r="DA307" s="4196"/>
      <c r="DB307" s="3858">
        <v>0</v>
      </c>
    </row>
    <row s="10303" customFormat="1" customHeight="1" ht="23.25">
      <c r="A308" s="4183"/>
      <c r="B308" s="4183"/>
      <c r="C308" s="4183"/>
      <c r="D308" s="4183"/>
      <c r="E308" s="4184"/>
      <c r="F308" s="4184"/>
      <c r="G308" s="4184"/>
      <c r="H308" s="4184"/>
      <c r="I308" s="4185"/>
      <c r="J308" s="4185" t="str">
        <f>I298&amp;".2"</f>
        <v>1.14.1.1.2</v>
      </c>
      <c r="K308" s="4186" t="str">
        <f>J307&amp;".1"</f>
        <v>1.14.1.1.3.1</v>
      </c>
      <c r="L308" s="4187"/>
      <c r="M308" s="4188"/>
      <c r="N308" s="4188"/>
      <c r="O308" s="4188"/>
      <c r="P308" s="4189"/>
      <c r="Q308" s="4189"/>
      <c r="R308" s="4191">
        <v>1</v>
      </c>
      <c r="S308" s="4192" t="str">
        <f>$K308</f>
        <v>1.14.1.1.3.1</v>
      </c>
      <c r="T308" s="4198"/>
      <c r="U308" s="4194"/>
      <c r="V308" s="3878"/>
      <c r="W308" s="3878"/>
      <c r="X308" s="3879"/>
      <c r="Y308" s="3880"/>
      <c r="Z308" s="3881" t="s">
        <v>65</v>
      </c>
      <c r="AA308" s="3880"/>
      <c r="AB308" s="3881" t="s">
        <v>65</v>
      </c>
      <c r="AC308" s="3878">
        <v>51.99</v>
      </c>
      <c r="AD308" s="3878"/>
      <c r="AE308" s="3879"/>
      <c r="AF308" s="3880">
        <v>45292</v>
      </c>
      <c r="AG308" s="3881" t="s">
        <v>65</v>
      </c>
      <c r="AH308" s="4116">
        <v>45473</v>
      </c>
      <c r="AI308" s="3881" t="s">
        <v>65</v>
      </c>
      <c r="AJ308" s="3878">
        <v>54.69</v>
      </c>
      <c r="AK308" s="3878"/>
      <c r="AL308" s="3879"/>
      <c r="AM308" s="3880">
        <v>45474</v>
      </c>
      <c r="AN308" s="3881" t="s">
        <v>65</v>
      </c>
      <c r="AO308" s="3880">
        <v>45657</v>
      </c>
      <c r="AP308" s="3881" t="s">
        <v>65</v>
      </c>
      <c r="AQ308" s="3878">
        <v>54.69</v>
      </c>
      <c r="AR308" s="3878"/>
      <c r="AS308" s="3879"/>
      <c r="AT308" s="3880">
        <v>45658</v>
      </c>
      <c r="AU308" s="3881" t="s">
        <v>65</v>
      </c>
      <c r="AV308" s="3880">
        <v>45838</v>
      </c>
      <c r="AW308" s="3881" t="s">
        <v>65</v>
      </c>
      <c r="AX308" s="3878">
        <v>57.43</v>
      </c>
      <c r="AY308" s="3878"/>
      <c r="AZ308" s="3879"/>
      <c r="BA308" s="3880">
        <v>45839</v>
      </c>
      <c r="BB308" s="3881" t="s">
        <v>65</v>
      </c>
      <c r="BC308" s="3880">
        <v>46022</v>
      </c>
      <c r="BD308" s="3881" t="s">
        <v>65</v>
      </c>
      <c r="BE308" s="3878">
        <v>62.55</v>
      </c>
      <c r="BF308" s="3878"/>
      <c r="BG308" s="3879"/>
      <c r="BH308" s="3880">
        <v>46023</v>
      </c>
      <c r="BI308" s="3881" t="s">
        <v>65</v>
      </c>
      <c r="BJ308" s="3880">
        <v>46203</v>
      </c>
      <c r="BK308" s="3881" t="s">
        <v>65</v>
      </c>
      <c r="BL308" s="3878">
        <v>68.84</v>
      </c>
      <c r="BM308" s="3878"/>
      <c r="BN308" s="3879"/>
      <c r="BO308" s="3880">
        <v>46204</v>
      </c>
      <c r="BP308" s="3881" t="s">
        <v>65</v>
      </c>
      <c r="BQ308" s="3880">
        <v>46387</v>
      </c>
      <c r="BR308" s="3881" t="s">
        <v>65</v>
      </c>
      <c r="BS308" s="3878">
        <v>68.84</v>
      </c>
      <c r="BT308" s="3878"/>
      <c r="BU308" s="3879"/>
      <c r="BV308" s="3880">
        <v>46388</v>
      </c>
      <c r="BW308" s="3881" t="s">
        <v>65</v>
      </c>
      <c r="BX308" s="3880">
        <v>46568</v>
      </c>
      <c r="BY308" s="3881" t="s">
        <v>65</v>
      </c>
      <c r="BZ308" s="3878">
        <v>74.46</v>
      </c>
      <c r="CA308" s="3878"/>
      <c r="CB308" s="3879"/>
      <c r="CC308" s="3880">
        <v>46569</v>
      </c>
      <c r="CD308" s="3881" t="s">
        <v>65</v>
      </c>
      <c r="CE308" s="3880">
        <v>46752</v>
      </c>
      <c r="CF308" s="3881" t="s">
        <v>65</v>
      </c>
      <c r="CG308" s="3878">
        <v>74.46</v>
      </c>
      <c r="CH308" s="3878"/>
      <c r="CI308" s="3879"/>
      <c r="CJ308" s="3880">
        <v>46753</v>
      </c>
      <c r="CK308" s="3881" t="s">
        <v>65</v>
      </c>
      <c r="CL308" s="3880">
        <v>46934</v>
      </c>
      <c r="CM308" s="3881" t="s">
        <v>65</v>
      </c>
      <c r="CN308" s="3878">
        <v>81.66</v>
      </c>
      <c r="CO308" s="3878"/>
      <c r="CP308" s="3879"/>
      <c r="CQ308" s="3880">
        <v>46935</v>
      </c>
      <c r="CR308" s="3881" t="s">
        <v>65</v>
      </c>
      <c r="CS308" s="3880">
        <v>47118</v>
      </c>
      <c r="CT308" s="3881" t="s">
        <v>65</v>
      </c>
      <c r="CU308" s="4199"/>
      <c r="CV30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08" s="4093">
        <f>STRCHECKDATE(V309:CU309)</f>
      </c>
      <c r="CX308" s="4196"/>
      <c r="CY308" s="4196" t="str">
        <f>IF(T308="","",T308)</f>
        <v/>
      </c>
      <c r="CZ308" s="4196"/>
      <c r="DA308" s="4196"/>
      <c r="DB308" s="3858">
        <v>0</v>
      </c>
    </row>
    <row s="10304" customFormat="1" customHeight="1" ht="14.25">
      <c r="A309" s="4183"/>
      <c r="B309" s="4183"/>
      <c r="C309" s="4183"/>
      <c r="D309" s="4183"/>
      <c r="E309" s="4184"/>
      <c r="F309" s="4184"/>
      <c r="G309" s="4184"/>
      <c r="H309" s="4184"/>
      <c r="I309" s="4185"/>
      <c r="J309" s="4185" t="str">
        <f>I298&amp;".2"</f>
        <v>1.14.1.1.2</v>
      </c>
      <c r="K309" s="4186"/>
      <c r="L309" s="4187"/>
      <c r="M309" s="4188"/>
      <c r="N309" s="4188"/>
      <c r="O309" s="4188"/>
      <c r="P309" s="4189"/>
      <c r="Q309" s="4189"/>
      <c r="R309" s="4191"/>
      <c r="S309" s="4202"/>
      <c r="T309" s="4194"/>
      <c r="U309" s="4194"/>
      <c r="V309" s="3885"/>
      <c r="W309" s="3885"/>
      <c r="X309" s="3886" t="str">
        <f>Y308&amp;"-"&amp;AA308</f>
        <v>-</v>
      </c>
      <c r="Y309" s="3887"/>
      <c r="Z309" s="3881"/>
      <c r="AA309" s="3887"/>
      <c r="AB309" s="3881"/>
      <c r="AC309" s="3885"/>
      <c r="AD309" s="3885"/>
      <c r="AE309" s="3886" t="str">
        <f>AF308&amp;"-"&amp;AH308</f>
        <v>45292-45473</v>
      </c>
      <c r="AF309" s="3887"/>
      <c r="AG309" s="3881"/>
      <c r="AH309" s="4118"/>
      <c r="AI309" s="3881"/>
      <c r="AJ309" s="3885"/>
      <c r="AK309" s="3885"/>
      <c r="AL309" s="3886" t="str">
        <f>AM308&amp;"-"&amp;AO308</f>
        <v>45474-45657</v>
      </c>
      <c r="AM309" s="3887"/>
      <c r="AN309" s="3881"/>
      <c r="AO309" s="3887"/>
      <c r="AP309" s="3881"/>
      <c r="AQ309" s="3885"/>
      <c r="AR309" s="3885"/>
      <c r="AS309" s="3886" t="str">
        <f>AT308&amp;"-"&amp;AV308</f>
        <v>45658-45838</v>
      </c>
      <c r="AT309" s="3887"/>
      <c r="AU309" s="3881"/>
      <c r="AV309" s="3887"/>
      <c r="AW309" s="3881"/>
      <c r="AX309" s="3885"/>
      <c r="AY309" s="3885"/>
      <c r="AZ309" s="3886" t="str">
        <f>BA308&amp;"-"&amp;BC308</f>
        <v>45839-46022</v>
      </c>
      <c r="BA309" s="3887"/>
      <c r="BB309" s="3881"/>
      <c r="BC309" s="3887"/>
      <c r="BD309" s="3881"/>
      <c r="BE309" s="3885"/>
      <c r="BF309" s="3885"/>
      <c r="BG309" s="3886" t="str">
        <f>BH308&amp;"-"&amp;BJ308</f>
        <v>46023-46203</v>
      </c>
      <c r="BH309" s="3887"/>
      <c r="BI309" s="3881"/>
      <c r="BJ309" s="3887"/>
      <c r="BK309" s="3881"/>
      <c r="BL309" s="3885"/>
      <c r="BM309" s="3885"/>
      <c r="BN309" s="3886" t="str">
        <f>BO308&amp;"-"&amp;BQ308</f>
        <v>46204-46387</v>
      </c>
      <c r="BO309" s="3887"/>
      <c r="BP309" s="3881"/>
      <c r="BQ309" s="3887"/>
      <c r="BR309" s="3881"/>
      <c r="BS309" s="3885"/>
      <c r="BT309" s="3885"/>
      <c r="BU309" s="3886" t="str">
        <f>BV308&amp;"-"&amp;BX308</f>
        <v>46388-46568</v>
      </c>
      <c r="BV309" s="3887"/>
      <c r="BW309" s="3881"/>
      <c r="BX309" s="3887"/>
      <c r="BY309" s="3881"/>
      <c r="BZ309" s="3885"/>
      <c r="CA309" s="3885"/>
      <c r="CB309" s="3886" t="str">
        <f>CC308&amp;"-"&amp;CE308</f>
        <v>46569-46752</v>
      </c>
      <c r="CC309" s="3887"/>
      <c r="CD309" s="3881"/>
      <c r="CE309" s="3887"/>
      <c r="CF309" s="3881"/>
      <c r="CG309" s="3885"/>
      <c r="CH309" s="3885"/>
      <c r="CI309" s="3886" t="str">
        <f>CJ308&amp;"-"&amp;CL308</f>
        <v>46753-46934</v>
      </c>
      <c r="CJ309" s="3887"/>
      <c r="CK309" s="3881"/>
      <c r="CL309" s="3887"/>
      <c r="CM309" s="3881"/>
      <c r="CN309" s="3885"/>
      <c r="CO309" s="3885"/>
      <c r="CP309" s="3886" t="str">
        <f>CQ308&amp;"-"&amp;CS308</f>
        <v>46935-47118</v>
      </c>
      <c r="CQ309" s="3887"/>
      <c r="CR309" s="3881"/>
      <c r="CS309" s="3887"/>
      <c r="CT309" s="3881"/>
      <c r="CU309" s="4203"/>
      <c r="CV309" s="4200"/>
      <c r="CW309" s="4093"/>
      <c r="CX309" s="4196"/>
      <c r="CY309" s="4196" t="str">
        <f>IF(T309="","",T309)</f>
        <v/>
      </c>
      <c r="CZ309" s="4196"/>
      <c r="DA309" s="4196"/>
      <c r="DB309" s="3858">
        <v>0</v>
      </c>
    </row>
    <row s="10305" customFormat="1" customHeight="1" ht="21">
      <c r="A310" s="4183"/>
      <c r="B310" s="4183"/>
      <c r="C310" s="4183"/>
      <c r="D310" s="4183"/>
      <c r="E310" s="4184"/>
      <c r="F310" s="4184"/>
      <c r="G310" s="4184"/>
      <c r="H310" s="4184"/>
      <c r="I310" s="4185"/>
      <c r="J310" s="4186" t="str">
        <f>I298&amp;".2"</f>
        <v>1.14.1.1.2</v>
      </c>
      <c r="K310" s="4183"/>
      <c r="L310" s="4187"/>
      <c r="M310" s="4188"/>
      <c r="N310" s="4188"/>
      <c r="O310" s="4188"/>
      <c r="P310" s="4189"/>
      <c r="Q310" s="4189"/>
      <c r="R310" s="4205"/>
      <c r="S310" s="10306"/>
      <c r="T310" s="10307" t="s">
        <v>615</v>
      </c>
      <c r="U310" s="10308"/>
      <c r="V310" s="10309"/>
      <c r="W310" s="10310"/>
      <c r="X310" s="10311"/>
      <c r="Y310" s="10312"/>
      <c r="Z310" s="10313"/>
      <c r="AA310" s="10314"/>
      <c r="AB310" s="10315"/>
      <c r="AC310" s="10316"/>
      <c r="AD310" s="10317"/>
      <c r="AE310" s="10318"/>
      <c r="AF310" s="10319"/>
      <c r="AG310" s="10320"/>
      <c r="AH310" s="10321"/>
      <c r="AI310" s="10322"/>
      <c r="AJ310" s="10323"/>
      <c r="AK310" s="10324"/>
      <c r="AL310" s="10325"/>
      <c r="AM310" s="10326"/>
      <c r="AN310" s="10327"/>
      <c r="AO310" s="10328"/>
      <c r="AP310" s="10329"/>
      <c r="AQ310" s="10330"/>
      <c r="AR310" s="10331"/>
      <c r="AS310" s="10332"/>
      <c r="AT310" s="10333"/>
      <c r="AU310" s="10334"/>
      <c r="AV310" s="10335"/>
      <c r="AW310" s="10336"/>
      <c r="AX310" s="10337"/>
      <c r="AY310" s="10338"/>
      <c r="AZ310" s="10339"/>
      <c r="BA310" s="10340"/>
      <c r="BB310" s="10341"/>
      <c r="BC310" s="10342"/>
      <c r="BD310" s="10343"/>
      <c r="BE310" s="10344"/>
      <c r="BF310" s="10345"/>
      <c r="BG310" s="10346"/>
      <c r="BH310" s="10347"/>
      <c r="BI310" s="10348"/>
      <c r="BJ310" s="10349"/>
      <c r="BK310" s="10350"/>
      <c r="BL310" s="10351"/>
      <c r="BM310" s="10352"/>
      <c r="BN310" s="10353"/>
      <c r="BO310" s="10354"/>
      <c r="BP310" s="10355"/>
      <c r="BQ310" s="10356"/>
      <c r="BR310" s="10357"/>
      <c r="BS310" s="10358"/>
      <c r="BT310" s="10359"/>
      <c r="BU310" s="10360"/>
      <c r="BV310" s="10361"/>
      <c r="BW310" s="10362"/>
      <c r="BX310" s="10363"/>
      <c r="BY310" s="10364"/>
      <c r="BZ310" s="10365"/>
      <c r="CA310" s="10366"/>
      <c r="CB310" s="10367"/>
      <c r="CC310" s="10368"/>
      <c r="CD310" s="10369"/>
      <c r="CE310" s="10370"/>
      <c r="CF310" s="10371"/>
      <c r="CG310" s="10372"/>
      <c r="CH310" s="10373"/>
      <c r="CI310" s="10374"/>
      <c r="CJ310" s="10375"/>
      <c r="CK310" s="10376"/>
      <c r="CL310" s="10377"/>
      <c r="CM310" s="10378"/>
      <c r="CN310" s="10379"/>
      <c r="CO310" s="10380"/>
      <c r="CP310" s="10381"/>
      <c r="CQ310" s="10382"/>
      <c r="CR310" s="10383"/>
      <c r="CS310" s="10384"/>
      <c r="CT310" s="10385"/>
      <c r="CU310" s="10386"/>
      <c r="CV310" s="4287" t="s">
        <v>616</v>
      </c>
      <c r="CW310" s="4093"/>
      <c r="CX310" s="4196"/>
      <c r="CY310" s="4196" t="str">
        <f>IF(T310="","",T310)</f>
        <v>Добавить значение признака дифференциации</v>
      </c>
      <c r="CZ310" s="4196"/>
      <c r="DA310" s="4196"/>
      <c r="DB310" s="3858">
        <v>0</v>
      </c>
    </row>
    <row s="10387" customFormat="1" customHeight="1" ht="21">
      <c r="A311" s="4183"/>
      <c r="B311" s="4183"/>
      <c r="C311" s="4183"/>
      <c r="D311" s="4183"/>
      <c r="E311" s="4184"/>
      <c r="F311" s="4184" t="s">
        <v>160</v>
      </c>
      <c r="G311" s="4184"/>
      <c r="H311" s="4184"/>
      <c r="I311" s="4186"/>
      <c r="J311" s="4183"/>
      <c r="K311" s="4183"/>
      <c r="L311" s="4187"/>
      <c r="M311" s="4188"/>
      <c r="N311" s="4188"/>
      <c r="O311" s="4188"/>
      <c r="P311" s="4189"/>
      <c r="Q311" s="4189"/>
      <c r="R311" s="4205"/>
      <c r="S311" s="10388"/>
      <c r="T311" s="10389" t="s">
        <v>544</v>
      </c>
      <c r="U311" s="10390"/>
      <c r="V311" s="10391"/>
      <c r="W311" s="10392"/>
      <c r="X311" s="10393"/>
      <c r="Y311" s="10394"/>
      <c r="Z311" s="10395"/>
      <c r="AA311" s="10396"/>
      <c r="AB311" s="10397"/>
      <c r="AC311" s="10398"/>
      <c r="AD311" s="10399"/>
      <c r="AE311" s="10400"/>
      <c r="AF311" s="10401"/>
      <c r="AG311" s="10402"/>
      <c r="AH311" s="10403"/>
      <c r="AI311" s="10404"/>
      <c r="AJ311" s="10405"/>
      <c r="AK311" s="10406"/>
      <c r="AL311" s="10407"/>
      <c r="AM311" s="10408"/>
      <c r="AN311" s="10409"/>
      <c r="AO311" s="10410"/>
      <c r="AP311" s="10411"/>
      <c r="AQ311" s="10412"/>
      <c r="AR311" s="10413"/>
      <c r="AS311" s="10414"/>
      <c r="AT311" s="10415"/>
      <c r="AU311" s="10416"/>
      <c r="AV311" s="10417"/>
      <c r="AW311" s="10418"/>
      <c r="AX311" s="10419"/>
      <c r="AY311" s="10420"/>
      <c r="AZ311" s="10421"/>
      <c r="BA311" s="10422"/>
      <c r="BB311" s="10423"/>
      <c r="BC311" s="10424"/>
      <c r="BD311" s="10425"/>
      <c r="BE311" s="10426"/>
      <c r="BF311" s="10427"/>
      <c r="BG311" s="10428"/>
      <c r="BH311" s="10429"/>
      <c r="BI311" s="10430"/>
      <c r="BJ311" s="10431"/>
      <c r="BK311" s="10432"/>
      <c r="BL311" s="10433"/>
      <c r="BM311" s="10434"/>
      <c r="BN311" s="10435"/>
      <c r="BO311" s="10436"/>
      <c r="BP311" s="10437"/>
      <c r="BQ311" s="10438"/>
      <c r="BR311" s="10439"/>
      <c r="BS311" s="10440"/>
      <c r="BT311" s="10441"/>
      <c r="BU311" s="10442"/>
      <c r="BV311" s="10443"/>
      <c r="BW311" s="10444"/>
      <c r="BX311" s="10445"/>
      <c r="BY311" s="10446"/>
      <c r="BZ311" s="10447"/>
      <c r="CA311" s="10448"/>
      <c r="CB311" s="10449"/>
      <c r="CC311" s="10450"/>
      <c r="CD311" s="10451"/>
      <c r="CE311" s="10452"/>
      <c r="CF311" s="10453"/>
      <c r="CG311" s="10454"/>
      <c r="CH311" s="10455"/>
      <c r="CI311" s="10456"/>
      <c r="CJ311" s="10457"/>
      <c r="CK311" s="10458"/>
      <c r="CL311" s="10459"/>
      <c r="CM311" s="10460"/>
      <c r="CN311" s="10461"/>
      <c r="CO311" s="10462"/>
      <c r="CP311" s="10463"/>
      <c r="CQ311" s="10464"/>
      <c r="CR311" s="10465"/>
      <c r="CS311" s="10466"/>
      <c r="CT311" s="10467"/>
      <c r="CU311" s="10468"/>
      <c r="CV311" s="10469"/>
      <c r="CW311" s="4093"/>
      <c r="CX311" s="4196"/>
      <c r="CY311" s="4196" t="str">
        <f>IF(T311="","",T311)</f>
        <v>Добавить группу потребителей</v>
      </c>
      <c r="CZ311" s="4196"/>
      <c r="DA311" s="4196"/>
      <c r="DB311" s="3858">
        <v>0</v>
      </c>
    </row>
    <row s="10470" customFormat="1" customHeight="1" ht="14.25">
      <c r="A312" s="4183"/>
      <c r="B312" s="4183"/>
      <c r="C312" s="4183"/>
      <c r="D312" s="4183"/>
      <c r="E312" s="4184"/>
      <c r="F312" s="4184" t="s">
        <v>160</v>
      </c>
      <c r="G312" s="4184"/>
      <c r="H312" s="4500"/>
      <c r="I312" s="4183"/>
      <c r="J312" s="4183"/>
      <c r="K312" s="4183"/>
      <c r="L312" s="4187"/>
      <c r="M312" s="4501"/>
      <c r="N312" s="4501"/>
      <c r="O312" s="4083"/>
      <c r="P312" s="4853"/>
      <c r="Q312" s="4854"/>
      <c r="R312" s="4855"/>
      <c r="S312" s="10471"/>
      <c r="T312" s="10472" t="s">
        <v>617</v>
      </c>
      <c r="U312" s="10473"/>
      <c r="V312" s="10474"/>
      <c r="W312" s="10475"/>
      <c r="X312" s="10476"/>
      <c r="Y312" s="10477"/>
      <c r="Z312" s="10478"/>
      <c r="AA312" s="10479"/>
      <c r="AB312" s="10480"/>
      <c r="AC312" s="10481"/>
      <c r="AD312" s="10482"/>
      <c r="AE312" s="10483"/>
      <c r="AF312" s="10484"/>
      <c r="AG312" s="10485"/>
      <c r="AH312" s="10486"/>
      <c r="AI312" s="10487"/>
      <c r="AJ312" s="10488"/>
      <c r="AK312" s="10489"/>
      <c r="AL312" s="10490"/>
      <c r="AM312" s="10491"/>
      <c r="AN312" s="10492"/>
      <c r="AO312" s="10493"/>
      <c r="AP312" s="10494"/>
      <c r="AQ312" s="10495"/>
      <c r="AR312" s="10496"/>
      <c r="AS312" s="10497"/>
      <c r="AT312" s="10498"/>
      <c r="AU312" s="10499"/>
      <c r="AV312" s="10500"/>
      <c r="AW312" s="10501"/>
      <c r="AX312" s="10502"/>
      <c r="AY312" s="10503"/>
      <c r="AZ312" s="10504"/>
      <c r="BA312" s="10505"/>
      <c r="BB312" s="10506"/>
      <c r="BC312" s="10507"/>
      <c r="BD312" s="10508"/>
      <c r="BE312" s="10509"/>
      <c r="BF312" s="10510"/>
      <c r="BG312" s="10511"/>
      <c r="BH312" s="10512"/>
      <c r="BI312" s="10513"/>
      <c r="BJ312" s="10514"/>
      <c r="BK312" s="10515"/>
      <c r="BL312" s="10516"/>
      <c r="BM312" s="10517"/>
      <c r="BN312" s="10518"/>
      <c r="BO312" s="10519"/>
      <c r="BP312" s="10520"/>
      <c r="BQ312" s="10521"/>
      <c r="BR312" s="10522"/>
      <c r="BS312" s="10523"/>
      <c r="BT312" s="10524"/>
      <c r="BU312" s="10525"/>
      <c r="BV312" s="10526"/>
      <c r="BW312" s="10527"/>
      <c r="BX312" s="10528"/>
      <c r="BY312" s="10529"/>
      <c r="BZ312" s="10530"/>
      <c r="CA312" s="10531"/>
      <c r="CB312" s="10532"/>
      <c r="CC312" s="10533"/>
      <c r="CD312" s="10534"/>
      <c r="CE312" s="10535"/>
      <c r="CF312" s="10536"/>
      <c r="CG312" s="10537"/>
      <c r="CH312" s="10538"/>
      <c r="CI312" s="10539"/>
      <c r="CJ312" s="10540"/>
      <c r="CK312" s="10541"/>
      <c r="CL312" s="10542"/>
      <c r="CM312" s="10543"/>
      <c r="CN312" s="10544"/>
      <c r="CO312" s="10545"/>
      <c r="CP312" s="10546"/>
      <c r="CQ312" s="10547"/>
      <c r="CR312" s="10548"/>
      <c r="CS312" s="10549"/>
      <c r="CT312" s="10550"/>
      <c r="CU312" s="10551"/>
      <c r="CV312" s="10552"/>
      <c r="CW312" s="4093"/>
      <c r="CX312" s="4196"/>
      <c r="CY312" s="4196" t="str">
        <f>IF(T312="","",T312)</f>
        <v>Добавить наименование признака дифференциации</v>
      </c>
      <c r="CZ312" s="4196"/>
      <c r="DA312" s="4196"/>
      <c r="DB312" s="3858">
        <v>0</v>
      </c>
    </row>
    <row s="10553" customFormat="1" customHeight="1" ht="14.25">
      <c r="A313" s="4939"/>
      <c r="B313" s="4939"/>
      <c r="C313" s="4939"/>
      <c r="D313" s="4939"/>
      <c r="E313" s="4184"/>
      <c r="F313" s="4500" t="s">
        <v>160</v>
      </c>
      <c r="G313" s="4939"/>
      <c r="H313" s="4939"/>
      <c r="I313" s="4939"/>
      <c r="J313" s="4939"/>
      <c r="K313" s="4939"/>
      <c r="L313" s="4940"/>
      <c r="M313" s="4941"/>
      <c r="N313" s="4941"/>
      <c r="O313" s="4093"/>
      <c r="P313" s="4942"/>
      <c r="Q313" s="4943"/>
      <c r="R313" s="4942"/>
      <c r="S313" s="4944"/>
      <c r="T313" s="4945" t="s">
        <v>302</v>
      </c>
      <c r="U313" s="4081"/>
      <c r="V313" s="4081"/>
      <c r="W313" s="4081"/>
      <c r="X313" s="4081"/>
      <c r="Y313" s="4081"/>
      <c r="Z313" s="4081"/>
      <c r="AA313" s="4081"/>
      <c r="AB313" s="4081"/>
      <c r="AC313" s="4081"/>
      <c r="AD313" s="4081"/>
      <c r="AE313" s="4081"/>
      <c r="AF313" s="4081"/>
      <c r="AG313" s="4081"/>
      <c r="AH313" s="4081"/>
      <c r="AI313" s="4081"/>
      <c r="AJ313" s="4081"/>
      <c r="AK313" s="4081"/>
      <c r="AL313" s="4081"/>
      <c r="AM313" s="4081"/>
      <c r="AN313" s="4081"/>
      <c r="AO313" s="4081"/>
      <c r="AP313" s="4081"/>
      <c r="AQ313" s="4081"/>
      <c r="AR313" s="4081"/>
      <c r="AS313" s="4081"/>
      <c r="AT313" s="4081"/>
      <c r="AU313" s="4081"/>
      <c r="AV313" s="4081"/>
      <c r="AW313" s="4081"/>
      <c r="AX313" s="4081"/>
      <c r="AY313" s="4081"/>
      <c r="AZ313" s="4081"/>
      <c r="BA313" s="4081"/>
      <c r="BB313" s="4081"/>
      <c r="BC313" s="4081"/>
      <c r="BD313" s="4081"/>
      <c r="BE313" s="4081"/>
      <c r="BF313" s="4081"/>
      <c r="BG313" s="4081"/>
      <c r="BH313" s="4081"/>
      <c r="BI313" s="4081"/>
      <c r="BJ313" s="4081"/>
      <c r="BK313" s="4081"/>
      <c r="BL313" s="4081"/>
      <c r="BM313" s="4081"/>
      <c r="BN313" s="4081"/>
      <c r="BO313" s="4081"/>
      <c r="BP313" s="4081"/>
      <c r="BQ313" s="4081"/>
      <c r="BR313" s="4081"/>
      <c r="BS313" s="4081"/>
      <c r="BT313" s="4081"/>
      <c r="BU313" s="4081"/>
      <c r="BV313" s="4081"/>
      <c r="BW313" s="4081"/>
      <c r="BX313" s="4081"/>
      <c r="BY313" s="4081"/>
      <c r="BZ313" s="4081"/>
      <c r="CA313" s="4081"/>
      <c r="CB313" s="4081"/>
      <c r="CC313" s="4081"/>
      <c r="CD313" s="4081"/>
      <c r="CE313" s="4081"/>
      <c r="CF313" s="4081"/>
      <c r="CG313" s="4081"/>
      <c r="CH313" s="4081"/>
      <c r="CI313" s="4081"/>
      <c r="CJ313" s="4081"/>
      <c r="CK313" s="4081"/>
      <c r="CL313" s="4081"/>
      <c r="CM313" s="4081"/>
      <c r="CN313" s="4081"/>
      <c r="CO313" s="4081"/>
      <c r="CP313" s="4081"/>
      <c r="CQ313" s="4081"/>
      <c r="CR313" s="4081"/>
      <c r="CS313" s="4081"/>
      <c r="CT313" s="4081"/>
      <c r="CU313" s="4081"/>
      <c r="CV313" s="4081"/>
      <c r="CW313" s="4093"/>
      <c r="CX313" s="4196"/>
      <c r="CY313" s="4196" t="str">
        <f>IF(T313="","",T313)</f>
        <v>Добавить централизованную систему для дифференциации</v>
      </c>
      <c r="CZ313" s="4196"/>
      <c r="DA313" s="4196"/>
      <c r="DB313" s="4093">
        <v>0</v>
      </c>
    </row>
    <row s="10554" customFormat="1" customHeight="1" ht="23.25">
      <c r="A314" s="4183"/>
      <c r="B314" s="4183" t="s">
        <v>346</v>
      </c>
      <c r="C314" s="4183"/>
      <c r="D314" s="4183"/>
      <c r="E314" s="4184"/>
      <c r="F314" s="4500" t="s">
        <v>170</v>
      </c>
      <c r="G314" s="4183"/>
      <c r="H314" s="4183"/>
      <c r="I314" s="4183"/>
      <c r="J314" s="4183"/>
      <c r="K314" s="4183"/>
      <c r="L314" s="4187"/>
      <c r="M314" s="4501"/>
      <c r="N314" s="4501"/>
      <c r="O314" s="4501"/>
      <c r="P314" s="4502"/>
      <c r="Q314" s="4503"/>
      <c r="R314" s="4504"/>
      <c r="S314" s="4192" t="str">
        <f>INDEX(PT_DIFFERENTIATION_NUM_TER,MATCH(B314,PT_DIFFERENTIATION_TER_ID,0))</f>
        <v>1.15</v>
      </c>
      <c r="T314" s="4505" t="s">
        <v>529</v>
      </c>
      <c r="U314" s="4194"/>
      <c r="V314" s="3860"/>
      <c r="W314" s="3861"/>
      <c r="X314" s="3861"/>
      <c r="Y314" s="3861"/>
      <c r="Z314" s="3861"/>
      <c r="AA314" s="3861"/>
      <c r="AB314" s="3862"/>
      <c r="AC314" s="3860" t="str">
        <f>INDEX(PT_DIFFERENTIATION_TER,MATCH(B314,PT_DIFFERENTIATION_TER_ID,0))</f>
        <v>Территория 15</v>
      </c>
      <c r="AD314" s="3861"/>
      <c r="AE314" s="3861"/>
      <c r="AF314" s="3861"/>
      <c r="AG314" s="3861"/>
      <c r="AH314" s="3861"/>
      <c r="AI314" s="3861"/>
      <c r="AJ314" s="3860"/>
      <c r="AK314" s="3861"/>
      <c r="AL314" s="3861"/>
      <c r="AM314" s="3861"/>
      <c r="AN314" s="3861"/>
      <c r="AO314" s="3861"/>
      <c r="AP314" s="3862"/>
      <c r="AQ314" s="3860"/>
      <c r="AR314" s="3861"/>
      <c r="AS314" s="3861"/>
      <c r="AT314" s="3861"/>
      <c r="AU314" s="3861"/>
      <c r="AV314" s="3861"/>
      <c r="AW314" s="3862"/>
      <c r="AX314" s="3860"/>
      <c r="AY314" s="3861"/>
      <c r="AZ314" s="3861"/>
      <c r="BA314" s="3861"/>
      <c r="BB314" s="3861"/>
      <c r="BC314" s="3861"/>
      <c r="BD314" s="3862"/>
      <c r="BE314" s="3860"/>
      <c r="BF314" s="3861"/>
      <c r="BG314" s="3861"/>
      <c r="BH314" s="3861"/>
      <c r="BI314" s="3861"/>
      <c r="BJ314" s="3861"/>
      <c r="BK314" s="3862"/>
      <c r="BL314" s="3860"/>
      <c r="BM314" s="3861"/>
      <c r="BN314" s="3861"/>
      <c r="BO314" s="3861"/>
      <c r="BP314" s="3861"/>
      <c r="BQ314" s="3861"/>
      <c r="BR314" s="3862"/>
      <c r="BS314" s="3860"/>
      <c r="BT314" s="3861"/>
      <c r="BU314" s="3861"/>
      <c r="BV314" s="3861"/>
      <c r="BW314" s="3861"/>
      <c r="BX314" s="3861"/>
      <c r="BY314" s="3862"/>
      <c r="BZ314" s="3860"/>
      <c r="CA314" s="3861"/>
      <c r="CB314" s="3861"/>
      <c r="CC314" s="3861"/>
      <c r="CD314" s="3861"/>
      <c r="CE314" s="3861"/>
      <c r="CF314" s="3862"/>
      <c r="CG314" s="3860"/>
      <c r="CH314" s="3861"/>
      <c r="CI314" s="3861"/>
      <c r="CJ314" s="3861"/>
      <c r="CK314" s="3861"/>
      <c r="CL314" s="3861"/>
      <c r="CM314" s="3862"/>
      <c r="CN314" s="3860"/>
      <c r="CO314" s="3861"/>
      <c r="CP314" s="3861"/>
      <c r="CQ314" s="3861"/>
      <c r="CR314" s="3861"/>
      <c r="CS314" s="3861"/>
      <c r="CT314" s="3862"/>
      <c r="CU314" s="3862"/>
      <c r="CV314" s="4287" t="s">
        <v>530</v>
      </c>
      <c r="CW314" s="4093"/>
      <c r="CX314" s="4196"/>
      <c r="CY314" s="4196" t="str">
        <f>IF(T314="","",T314)</f>
        <v>Территория действия тарифа</v>
      </c>
      <c r="CZ314" s="4196"/>
      <c r="DA314" s="4196"/>
      <c r="DB314" s="3858">
        <v>0</v>
      </c>
    </row>
    <row s="10555" customFormat="1" customHeight="1" ht="23.25">
      <c r="A315" s="4183"/>
      <c r="B315" s="4183"/>
      <c r="C315" s="4183" t="s">
        <v>347</v>
      </c>
      <c r="D315" s="4183"/>
      <c r="E315" s="4184"/>
      <c r="F315" s="4184" t="s">
        <v>165</v>
      </c>
      <c r="G315" s="4500">
        <v>1</v>
      </c>
      <c r="H315" s="4183"/>
      <c r="I315" s="4183"/>
      <c r="J315" s="4183"/>
      <c r="K315" s="4183"/>
      <c r="L315" s="4187"/>
      <c r="M315" s="4501"/>
      <c r="N315" s="4501"/>
      <c r="O315" s="4501"/>
      <c r="P315" s="4507"/>
      <c r="Q315" s="4503"/>
      <c r="R315" s="4504"/>
      <c r="S315" s="4192" t="str">
        <f>INDEX(PT_DIFFERENTIATION_NUM_CS,MATCH(C315,PT_DIFFERENTIATION_CS_ID,0))</f>
        <v>1.15.1</v>
      </c>
      <c r="T315" s="4508" t="s">
        <v>610</v>
      </c>
      <c r="U315" s="4194"/>
      <c r="V315" s="3860"/>
      <c r="W315" s="3861"/>
      <c r="X315" s="3861"/>
      <c r="Y315" s="3861"/>
      <c r="Z315" s="3861"/>
      <c r="AA315" s="3861"/>
      <c r="AB315" s="3862"/>
      <c r="AC315" s="3860" t="str">
        <f>INDEX(PT_DIFFERENTIATION_CS,MATCH(C315,PT_DIFFERENTIATION_CS_ID,0))</f>
        <v>без дифференциации</v>
      </c>
      <c r="AD315" s="3861"/>
      <c r="AE315" s="3861"/>
      <c r="AF315" s="3861"/>
      <c r="AG315" s="3861"/>
      <c r="AH315" s="3861"/>
      <c r="AI315" s="3861"/>
      <c r="AJ315" s="3860"/>
      <c r="AK315" s="3861"/>
      <c r="AL315" s="3861"/>
      <c r="AM315" s="3861"/>
      <c r="AN315" s="3861"/>
      <c r="AO315" s="3861"/>
      <c r="AP315" s="3862"/>
      <c r="AQ315" s="3860"/>
      <c r="AR315" s="3861"/>
      <c r="AS315" s="3861"/>
      <c r="AT315" s="3861"/>
      <c r="AU315" s="3861"/>
      <c r="AV315" s="3861"/>
      <c r="AW315" s="3862"/>
      <c r="AX315" s="3860"/>
      <c r="AY315" s="3861"/>
      <c r="AZ315" s="3861"/>
      <c r="BA315" s="3861"/>
      <c r="BB315" s="3861"/>
      <c r="BC315" s="3861"/>
      <c r="BD315" s="3862"/>
      <c r="BE315" s="3860"/>
      <c r="BF315" s="3861"/>
      <c r="BG315" s="3861"/>
      <c r="BH315" s="3861"/>
      <c r="BI315" s="3861"/>
      <c r="BJ315" s="3861"/>
      <c r="BK315" s="3862"/>
      <c r="BL315" s="3860"/>
      <c r="BM315" s="3861"/>
      <c r="BN315" s="3861"/>
      <c r="BO315" s="3861"/>
      <c r="BP315" s="3861"/>
      <c r="BQ315" s="3861"/>
      <c r="BR315" s="3862"/>
      <c r="BS315" s="3860"/>
      <c r="BT315" s="3861"/>
      <c r="BU315" s="3861"/>
      <c r="BV315" s="3861"/>
      <c r="BW315" s="3861"/>
      <c r="BX315" s="3861"/>
      <c r="BY315" s="3862"/>
      <c r="BZ315" s="3860"/>
      <c r="CA315" s="3861"/>
      <c r="CB315" s="3861"/>
      <c r="CC315" s="3861"/>
      <c r="CD315" s="3861"/>
      <c r="CE315" s="3861"/>
      <c r="CF315" s="3862"/>
      <c r="CG315" s="3860"/>
      <c r="CH315" s="3861"/>
      <c r="CI315" s="3861"/>
      <c r="CJ315" s="3861"/>
      <c r="CK315" s="3861"/>
      <c r="CL315" s="3861"/>
      <c r="CM315" s="3862"/>
      <c r="CN315" s="3860"/>
      <c r="CO315" s="3861"/>
      <c r="CP315" s="3861"/>
      <c r="CQ315" s="3861"/>
      <c r="CR315" s="3861"/>
      <c r="CS315" s="3861"/>
      <c r="CT315" s="3862"/>
      <c r="CU315" s="3862"/>
      <c r="CV315" s="4287" t="s">
        <v>611</v>
      </c>
      <c r="CW315" s="4093"/>
      <c r="CX315" s="4196"/>
      <c r="CY315" s="4196" t="str">
        <f>IF(T315="","",T315)</f>
        <v>Наименование централизованной системы холодного водоснабжения</v>
      </c>
      <c r="CZ315" s="4196"/>
      <c r="DA315" s="4196"/>
      <c r="DB315" s="3858">
        <v>0</v>
      </c>
    </row>
    <row s="10556" customFormat="1" customHeight="1" ht="23.25">
      <c r="A316" s="4183"/>
      <c r="B316" s="4183"/>
      <c r="C316" s="4183"/>
      <c r="D316" s="4183"/>
      <c r="E316" s="4184"/>
      <c r="F316" s="4184" t="s">
        <v>165</v>
      </c>
      <c r="G316" s="4184"/>
      <c r="H316" s="4184"/>
      <c r="I316" s="4186" t="str">
        <f>S315&amp;".1"</f>
        <v>1.15.1.1</v>
      </c>
      <c r="J316" s="4183"/>
      <c r="K316" s="4183"/>
      <c r="L316" s="4187"/>
      <c r="M316" s="4188"/>
      <c r="N316" s="4188"/>
      <c r="O316" s="4188"/>
      <c r="P316" s="4189">
        <v>1</v>
      </c>
      <c r="Q316" s="4189"/>
      <c r="R316" s="4205"/>
      <c r="S316" s="4192" t="str">
        <f>$I316</f>
        <v>1.15.1.1</v>
      </c>
      <c r="T316" s="4510" t="s">
        <v>612</v>
      </c>
      <c r="U316" s="4194"/>
      <c r="V316" s="3870"/>
      <c r="W316" s="3871"/>
      <c r="X316" s="3871"/>
      <c r="Y316" s="3871"/>
      <c r="Z316" s="3871"/>
      <c r="AA316" s="3871"/>
      <c r="AB316" s="3872"/>
      <c r="AC316" s="4511"/>
      <c r="AD316" s="4512"/>
      <c r="AE316" s="4512"/>
      <c r="AF316" s="4512"/>
      <c r="AG316" s="4512"/>
      <c r="AH316" s="4512"/>
      <c r="AI316" s="4512"/>
      <c r="AJ316" s="3870"/>
      <c r="AK316" s="3871"/>
      <c r="AL316" s="3871"/>
      <c r="AM316" s="3871"/>
      <c r="AN316" s="3871"/>
      <c r="AO316" s="3871"/>
      <c r="AP316" s="3872"/>
      <c r="AQ316" s="3870"/>
      <c r="AR316" s="3871"/>
      <c r="AS316" s="3871"/>
      <c r="AT316" s="3871"/>
      <c r="AU316" s="3871"/>
      <c r="AV316" s="3871"/>
      <c r="AW316" s="3872"/>
      <c r="AX316" s="3870"/>
      <c r="AY316" s="3871"/>
      <c r="AZ316" s="3871"/>
      <c r="BA316" s="3871"/>
      <c r="BB316" s="3871"/>
      <c r="BC316" s="3871"/>
      <c r="BD316" s="3872"/>
      <c r="BE316" s="3870"/>
      <c r="BF316" s="3871"/>
      <c r="BG316" s="3871"/>
      <c r="BH316" s="3871"/>
      <c r="BI316" s="3871"/>
      <c r="BJ316" s="3871"/>
      <c r="BK316" s="3872"/>
      <c r="BL316" s="3870"/>
      <c r="BM316" s="3871"/>
      <c r="BN316" s="3871"/>
      <c r="BO316" s="3871"/>
      <c r="BP316" s="3871"/>
      <c r="BQ316" s="3871"/>
      <c r="BR316" s="3872"/>
      <c r="BS316" s="3870"/>
      <c r="BT316" s="3871"/>
      <c r="BU316" s="3871"/>
      <c r="BV316" s="3871"/>
      <c r="BW316" s="3871"/>
      <c r="BX316" s="3871"/>
      <c r="BY316" s="3872"/>
      <c r="BZ316" s="3870"/>
      <c r="CA316" s="3871"/>
      <c r="CB316" s="3871"/>
      <c r="CC316" s="3871"/>
      <c r="CD316" s="3871"/>
      <c r="CE316" s="3871"/>
      <c r="CF316" s="3872"/>
      <c r="CG316" s="3870"/>
      <c r="CH316" s="3871"/>
      <c r="CI316" s="3871"/>
      <c r="CJ316" s="3871"/>
      <c r="CK316" s="3871"/>
      <c r="CL316" s="3871"/>
      <c r="CM316" s="3872"/>
      <c r="CN316" s="3870"/>
      <c r="CO316" s="3871"/>
      <c r="CP316" s="3871"/>
      <c r="CQ316" s="3871"/>
      <c r="CR316" s="3871"/>
      <c r="CS316" s="3871"/>
      <c r="CT316" s="3872"/>
      <c r="CU316" s="4513"/>
      <c r="CV316" s="4287" t="s">
        <v>613</v>
      </c>
      <c r="CW316" s="4093"/>
      <c r="CX316" s="4196"/>
      <c r="CY316" s="4196" t="str">
        <f>IF(T316="","",T316)</f>
        <v>Наименование признака дифференциации</v>
      </c>
      <c r="CZ316" s="4196"/>
      <c r="DA316" s="4196"/>
      <c r="DB316" s="3858">
        <v>0</v>
      </c>
    </row>
    <row s="10557" customFormat="1" customHeight="1" ht="23.25">
      <c r="A317" s="4183"/>
      <c r="B317" s="4183"/>
      <c r="C317" s="4183"/>
      <c r="D317" s="4183"/>
      <c r="E317" s="4184"/>
      <c r="F317" s="4184" t="s">
        <v>165</v>
      </c>
      <c r="G317" s="4184"/>
      <c r="H317" s="4184"/>
      <c r="I317" s="4185"/>
      <c r="J317" s="4186" t="str">
        <f>I316&amp;".1"</f>
        <v>1.15.1.1.1</v>
      </c>
      <c r="K317" s="4183"/>
      <c r="L317" s="4187" t="s">
        <v>538</v>
      </c>
      <c r="M317" s="4188"/>
      <c r="N317" s="4188"/>
      <c r="O317" s="4188"/>
      <c r="P317" s="4189"/>
      <c r="Q317" s="4189">
        <v>1</v>
      </c>
      <c r="R317" s="4191"/>
      <c r="S317" s="4192" t="str">
        <f>$J317</f>
        <v>1.15.1.1.1</v>
      </c>
      <c r="T317" s="4193" t="s">
        <v>539</v>
      </c>
      <c r="U317" s="4194"/>
      <c r="V317" s="3874"/>
      <c r="W317" s="3875"/>
      <c r="X317" s="3875"/>
      <c r="Y317" s="3875"/>
      <c r="Z317" s="3875"/>
      <c r="AA317" s="3875"/>
      <c r="AB317" s="3876"/>
      <c r="AC317" s="3874" t="s">
        <v>625</v>
      </c>
      <c r="AD317" s="3875"/>
      <c r="AE317" s="3875"/>
      <c r="AF317" s="3875"/>
      <c r="AG317" s="3875"/>
      <c r="AH317" s="3875"/>
      <c r="AI317" s="3875"/>
      <c r="AJ317" s="3874"/>
      <c r="AK317" s="3875"/>
      <c r="AL317" s="3875"/>
      <c r="AM317" s="3875"/>
      <c r="AN317" s="3875"/>
      <c r="AO317" s="3875"/>
      <c r="AP317" s="3876"/>
      <c r="AQ317" s="3874"/>
      <c r="AR317" s="3875"/>
      <c r="AS317" s="3875"/>
      <c r="AT317" s="3875"/>
      <c r="AU317" s="3875"/>
      <c r="AV317" s="3875"/>
      <c r="AW317" s="3876"/>
      <c r="AX317" s="3874"/>
      <c r="AY317" s="3875"/>
      <c r="AZ317" s="3875"/>
      <c r="BA317" s="3875"/>
      <c r="BB317" s="3875"/>
      <c r="BC317" s="3875"/>
      <c r="BD317" s="3876"/>
      <c r="BE317" s="3874"/>
      <c r="BF317" s="3875"/>
      <c r="BG317" s="3875"/>
      <c r="BH317" s="3875"/>
      <c r="BI317" s="3875"/>
      <c r="BJ317" s="3875"/>
      <c r="BK317" s="3876"/>
      <c r="BL317" s="3874"/>
      <c r="BM317" s="3875"/>
      <c r="BN317" s="3875"/>
      <c r="BO317" s="3875"/>
      <c r="BP317" s="3875"/>
      <c r="BQ317" s="3875"/>
      <c r="BR317" s="3876"/>
      <c r="BS317" s="3874"/>
      <c r="BT317" s="3875"/>
      <c r="BU317" s="3875"/>
      <c r="BV317" s="3875"/>
      <c r="BW317" s="3875"/>
      <c r="BX317" s="3875"/>
      <c r="BY317" s="3876"/>
      <c r="BZ317" s="3874"/>
      <c r="CA317" s="3875"/>
      <c r="CB317" s="3875"/>
      <c r="CC317" s="3875"/>
      <c r="CD317" s="3875"/>
      <c r="CE317" s="3875"/>
      <c r="CF317" s="3876"/>
      <c r="CG317" s="3874"/>
      <c r="CH317" s="3875"/>
      <c r="CI317" s="3875"/>
      <c r="CJ317" s="3875"/>
      <c r="CK317" s="3875"/>
      <c r="CL317" s="3875"/>
      <c r="CM317" s="3876"/>
      <c r="CN317" s="3874"/>
      <c r="CO317" s="3875"/>
      <c r="CP317" s="3875"/>
      <c r="CQ317" s="3875"/>
      <c r="CR317" s="3875"/>
      <c r="CS317" s="3875"/>
      <c r="CT317" s="3876"/>
      <c r="CU317" s="3876"/>
      <c r="CV317" s="4195" t="s">
        <v>614</v>
      </c>
      <c r="CW317" s="4093"/>
      <c r="CX317" s="4196"/>
      <c r="CY317" s="4196" t="str">
        <f>IF(T317="","",T317)</f>
        <v>Группа потребителей</v>
      </c>
      <c r="CZ317" s="4196"/>
      <c r="DA317" s="4196"/>
      <c r="DB317" s="3858">
        <v>0</v>
      </c>
    </row>
    <row s="10558" customFormat="1" customHeight="1" ht="23.25">
      <c r="A318" s="4183"/>
      <c r="B318" s="4183"/>
      <c r="C318" s="4183"/>
      <c r="D318" s="4183"/>
      <c r="E318" s="4184"/>
      <c r="F318" s="4184" t="s">
        <v>165</v>
      </c>
      <c r="G318" s="4184"/>
      <c r="H318" s="4184"/>
      <c r="I318" s="4185"/>
      <c r="J318" s="4185"/>
      <c r="K318" s="4186" t="str">
        <f>J317&amp;".1"</f>
        <v>1.15.1.1.1.1</v>
      </c>
      <c r="L318" s="4187"/>
      <c r="M318" s="4188"/>
      <c r="N318" s="4188"/>
      <c r="O318" s="4188"/>
      <c r="P318" s="4189"/>
      <c r="Q318" s="4189"/>
      <c r="R318" s="4191">
        <v>1</v>
      </c>
      <c r="S318" s="4192" t="str">
        <f>$K318</f>
        <v>1.15.1.1.1.1</v>
      </c>
      <c r="T318" s="4198"/>
      <c r="U318" s="4194"/>
      <c r="V318" s="3878"/>
      <c r="W318" s="3878"/>
      <c r="X318" s="3879"/>
      <c r="Y318" s="3880"/>
      <c r="Z318" s="3881" t="s">
        <v>65</v>
      </c>
      <c r="AA318" s="3880"/>
      <c r="AB318" s="3881" t="s">
        <v>65</v>
      </c>
      <c r="AC318" s="3878">
        <v>35.7</v>
      </c>
      <c r="AD318" s="3878"/>
      <c r="AE318" s="3879"/>
      <c r="AF318" s="3880">
        <v>45292</v>
      </c>
      <c r="AG318" s="3881" t="s">
        <v>65</v>
      </c>
      <c r="AH318" s="4116">
        <v>45473</v>
      </c>
      <c r="AI318" s="3881" t="s">
        <v>65</v>
      </c>
      <c r="AJ318" s="3878">
        <v>40.84</v>
      </c>
      <c r="AK318" s="3878"/>
      <c r="AL318" s="3879"/>
      <c r="AM318" s="3880">
        <v>45474</v>
      </c>
      <c r="AN318" s="3881" t="s">
        <v>65</v>
      </c>
      <c r="AO318" s="3880">
        <v>45657</v>
      </c>
      <c r="AP318" s="3881" t="s">
        <v>65</v>
      </c>
      <c r="AQ318" s="3878">
        <v>40.84</v>
      </c>
      <c r="AR318" s="3878"/>
      <c r="AS318" s="3879"/>
      <c r="AT318" s="3880">
        <v>45658</v>
      </c>
      <c r="AU318" s="3881" t="s">
        <v>65</v>
      </c>
      <c r="AV318" s="3880">
        <v>45838</v>
      </c>
      <c r="AW318" s="3881" t="s">
        <v>65</v>
      </c>
      <c r="AX318" s="3878">
        <v>46.56</v>
      </c>
      <c r="AY318" s="3878"/>
      <c r="AZ318" s="3879"/>
      <c r="BA318" s="3880">
        <v>45839</v>
      </c>
      <c r="BB318" s="3881" t="s">
        <v>65</v>
      </c>
      <c r="BC318" s="3880">
        <v>46022</v>
      </c>
      <c r="BD318" s="3881" t="s">
        <v>65</v>
      </c>
      <c r="BE318" s="3878">
        <v>43.17</v>
      </c>
      <c r="BF318" s="3878"/>
      <c r="BG318" s="3879"/>
      <c r="BH318" s="3880">
        <v>46023</v>
      </c>
      <c r="BI318" s="3881" t="s">
        <v>65</v>
      </c>
      <c r="BJ318" s="3880">
        <v>46203</v>
      </c>
      <c r="BK318" s="3881" t="s">
        <v>65</v>
      </c>
      <c r="BL318" s="3878">
        <v>44.9</v>
      </c>
      <c r="BM318" s="3878"/>
      <c r="BN318" s="3879"/>
      <c r="BO318" s="3880">
        <v>46204</v>
      </c>
      <c r="BP318" s="3881" t="s">
        <v>65</v>
      </c>
      <c r="BQ318" s="3880">
        <v>46387</v>
      </c>
      <c r="BR318" s="3881" t="s">
        <v>65</v>
      </c>
      <c r="BS318" s="3878">
        <v>44.9</v>
      </c>
      <c r="BT318" s="3878"/>
      <c r="BU318" s="3879"/>
      <c r="BV318" s="3880">
        <v>46388</v>
      </c>
      <c r="BW318" s="3881" t="s">
        <v>65</v>
      </c>
      <c r="BX318" s="3880">
        <v>46568</v>
      </c>
      <c r="BY318" s="3881" t="s">
        <v>65</v>
      </c>
      <c r="BZ318" s="3878">
        <v>46.7</v>
      </c>
      <c r="CA318" s="3878"/>
      <c r="CB318" s="3879"/>
      <c r="CC318" s="3880">
        <v>46569</v>
      </c>
      <c r="CD318" s="3881" t="s">
        <v>65</v>
      </c>
      <c r="CE318" s="3880">
        <v>46752</v>
      </c>
      <c r="CF318" s="3881" t="s">
        <v>65</v>
      </c>
      <c r="CG318" s="3878">
        <v>46.7</v>
      </c>
      <c r="CH318" s="3878"/>
      <c r="CI318" s="3879"/>
      <c r="CJ318" s="3880">
        <v>46753</v>
      </c>
      <c r="CK318" s="3881" t="s">
        <v>65</v>
      </c>
      <c r="CL318" s="3880">
        <v>46934</v>
      </c>
      <c r="CM318" s="3881" t="s">
        <v>65</v>
      </c>
      <c r="CN318" s="3878">
        <v>48.57</v>
      </c>
      <c r="CO318" s="3878"/>
      <c r="CP318" s="3879"/>
      <c r="CQ318" s="3880">
        <v>46935</v>
      </c>
      <c r="CR318" s="3881" t="s">
        <v>65</v>
      </c>
      <c r="CS318" s="3880">
        <v>47118</v>
      </c>
      <c r="CT318" s="3881" t="s">
        <v>65</v>
      </c>
      <c r="CU318" s="4199"/>
      <c r="CV31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18" s="4093">
        <f>STRCHECKDATE(V319:CU319)</f>
      </c>
      <c r="CX318" s="4196"/>
      <c r="CY318" s="4196" t="str">
        <f>IF(T318="","",T318)</f>
        <v/>
      </c>
      <c r="CZ318" s="4196"/>
      <c r="DA318" s="4196"/>
      <c r="DB318" s="3858">
        <v>0</v>
      </c>
    </row>
    <row s="10559" customFormat="1" customHeight="1" ht="14.25">
      <c r="A319" s="4183"/>
      <c r="B319" s="4183"/>
      <c r="C319" s="4183"/>
      <c r="D319" s="4183"/>
      <c r="E319" s="4184"/>
      <c r="F319" s="4184" t="s">
        <v>165</v>
      </c>
      <c r="G319" s="4184"/>
      <c r="H319" s="4184"/>
      <c r="I319" s="4185"/>
      <c r="J319" s="4185"/>
      <c r="K319" s="4186"/>
      <c r="L319" s="4187"/>
      <c r="M319" s="4188"/>
      <c r="N319" s="4188"/>
      <c r="O319" s="4188"/>
      <c r="P319" s="4189"/>
      <c r="Q319" s="4189"/>
      <c r="R319" s="4191"/>
      <c r="S319" s="4202"/>
      <c r="T319" s="4194"/>
      <c r="U319" s="4194"/>
      <c r="V319" s="3885"/>
      <c r="W319" s="3885"/>
      <c r="X319" s="3886" t="str">
        <f>Y318&amp;"-"&amp;AA318</f>
        <v>-</v>
      </c>
      <c r="Y319" s="3887"/>
      <c r="Z319" s="3881"/>
      <c r="AA319" s="3887"/>
      <c r="AB319" s="3881"/>
      <c r="AC319" s="3885"/>
      <c r="AD319" s="3885"/>
      <c r="AE319" s="3886" t="str">
        <f>AF318&amp;"-"&amp;AH318</f>
        <v>45292-45473</v>
      </c>
      <c r="AF319" s="3887"/>
      <c r="AG319" s="3881"/>
      <c r="AH319" s="4118"/>
      <c r="AI319" s="3881"/>
      <c r="AJ319" s="3885"/>
      <c r="AK319" s="3885"/>
      <c r="AL319" s="3886" t="str">
        <f>AM318&amp;"-"&amp;AO318</f>
        <v>45474-45657</v>
      </c>
      <c r="AM319" s="3887"/>
      <c r="AN319" s="3881"/>
      <c r="AO319" s="3887"/>
      <c r="AP319" s="3881"/>
      <c r="AQ319" s="3885"/>
      <c r="AR319" s="3885"/>
      <c r="AS319" s="3886" t="str">
        <f>AT318&amp;"-"&amp;AV318</f>
        <v>45658-45838</v>
      </c>
      <c r="AT319" s="3887"/>
      <c r="AU319" s="3881"/>
      <c r="AV319" s="3887"/>
      <c r="AW319" s="3881"/>
      <c r="AX319" s="3885"/>
      <c r="AY319" s="3885"/>
      <c r="AZ319" s="3886" t="str">
        <f>BA318&amp;"-"&amp;BC318</f>
        <v>45839-46022</v>
      </c>
      <c r="BA319" s="3887"/>
      <c r="BB319" s="3881"/>
      <c r="BC319" s="3887"/>
      <c r="BD319" s="3881"/>
      <c r="BE319" s="3885"/>
      <c r="BF319" s="3885"/>
      <c r="BG319" s="3886" t="str">
        <f>BH318&amp;"-"&amp;BJ318</f>
        <v>46023-46203</v>
      </c>
      <c r="BH319" s="3887"/>
      <c r="BI319" s="3881"/>
      <c r="BJ319" s="3887"/>
      <c r="BK319" s="3881"/>
      <c r="BL319" s="3885"/>
      <c r="BM319" s="3885"/>
      <c r="BN319" s="3886" t="str">
        <f>BO318&amp;"-"&amp;BQ318</f>
        <v>46204-46387</v>
      </c>
      <c r="BO319" s="3887"/>
      <c r="BP319" s="3881"/>
      <c r="BQ319" s="3887"/>
      <c r="BR319" s="3881"/>
      <c r="BS319" s="3885"/>
      <c r="BT319" s="3885"/>
      <c r="BU319" s="3886" t="str">
        <f>BV318&amp;"-"&amp;BX318</f>
        <v>46388-46568</v>
      </c>
      <c r="BV319" s="3887"/>
      <c r="BW319" s="3881"/>
      <c r="BX319" s="3887"/>
      <c r="BY319" s="3881"/>
      <c r="BZ319" s="3885"/>
      <c r="CA319" s="3885"/>
      <c r="CB319" s="3886" t="str">
        <f>CC318&amp;"-"&amp;CE318</f>
        <v>46569-46752</v>
      </c>
      <c r="CC319" s="3887"/>
      <c r="CD319" s="3881"/>
      <c r="CE319" s="3887"/>
      <c r="CF319" s="3881"/>
      <c r="CG319" s="3885"/>
      <c r="CH319" s="3885"/>
      <c r="CI319" s="3886" t="str">
        <f>CJ318&amp;"-"&amp;CL318</f>
        <v>46753-46934</v>
      </c>
      <c r="CJ319" s="3887"/>
      <c r="CK319" s="3881"/>
      <c r="CL319" s="3887"/>
      <c r="CM319" s="3881"/>
      <c r="CN319" s="3885"/>
      <c r="CO319" s="3885"/>
      <c r="CP319" s="3886" t="str">
        <f>CQ318&amp;"-"&amp;CS318</f>
        <v>46935-47118</v>
      </c>
      <c r="CQ319" s="3887"/>
      <c r="CR319" s="3881"/>
      <c r="CS319" s="3887"/>
      <c r="CT319" s="3881"/>
      <c r="CU319" s="4203"/>
      <c r="CV319" s="4200"/>
      <c r="CW319" s="4093"/>
      <c r="CX319" s="4196"/>
      <c r="CY319" s="4196" t="str">
        <f>IF(T319="","",T319)</f>
        <v/>
      </c>
      <c r="CZ319" s="4196"/>
      <c r="DA319" s="4196"/>
      <c r="DB319" s="3858">
        <v>0</v>
      </c>
    </row>
    <row s="10560" customFormat="1" customHeight="1" ht="21">
      <c r="A320" s="4183"/>
      <c r="B320" s="4183"/>
      <c r="C320" s="4183"/>
      <c r="D320" s="4183"/>
      <c r="E320" s="4184"/>
      <c r="F320" s="4184" t="s">
        <v>165</v>
      </c>
      <c r="G320" s="4184"/>
      <c r="H320" s="4184"/>
      <c r="I320" s="4185"/>
      <c r="J320" s="4186"/>
      <c r="K320" s="4183"/>
      <c r="L320" s="4187"/>
      <c r="M320" s="4188"/>
      <c r="N320" s="4188"/>
      <c r="O320" s="4188"/>
      <c r="P320" s="4189"/>
      <c r="Q320" s="4189"/>
      <c r="R320" s="4205"/>
      <c r="S320" s="10561"/>
      <c r="T320" s="10562" t="s">
        <v>615</v>
      </c>
      <c r="U320" s="10563"/>
      <c r="V320" s="10564"/>
      <c r="W320" s="10565"/>
      <c r="X320" s="10566"/>
      <c r="Y320" s="10567"/>
      <c r="Z320" s="10568"/>
      <c r="AA320" s="10569"/>
      <c r="AB320" s="10570"/>
      <c r="AC320" s="10571"/>
      <c r="AD320" s="10572"/>
      <c r="AE320" s="10573"/>
      <c r="AF320" s="10574"/>
      <c r="AG320" s="10575"/>
      <c r="AH320" s="10576"/>
      <c r="AI320" s="10577"/>
      <c r="AJ320" s="10578"/>
      <c r="AK320" s="10579"/>
      <c r="AL320" s="10580"/>
      <c r="AM320" s="10581"/>
      <c r="AN320" s="10582"/>
      <c r="AO320" s="10583"/>
      <c r="AP320" s="10584"/>
      <c r="AQ320" s="10585"/>
      <c r="AR320" s="10586"/>
      <c r="AS320" s="10587"/>
      <c r="AT320" s="10588"/>
      <c r="AU320" s="10589"/>
      <c r="AV320" s="10590"/>
      <c r="AW320" s="10591"/>
      <c r="AX320" s="10592"/>
      <c r="AY320" s="10593"/>
      <c r="AZ320" s="10594"/>
      <c r="BA320" s="10595"/>
      <c r="BB320" s="10596"/>
      <c r="BC320" s="10597"/>
      <c r="BD320" s="10598"/>
      <c r="BE320" s="10599"/>
      <c r="BF320" s="10600"/>
      <c r="BG320" s="10601"/>
      <c r="BH320" s="10602"/>
      <c r="BI320" s="10603"/>
      <c r="BJ320" s="10604"/>
      <c r="BK320" s="10605"/>
      <c r="BL320" s="10606"/>
      <c r="BM320" s="10607"/>
      <c r="BN320" s="10608"/>
      <c r="BO320" s="10609"/>
      <c r="BP320" s="10610"/>
      <c r="BQ320" s="10611"/>
      <c r="BR320" s="10612"/>
      <c r="BS320" s="10613"/>
      <c r="BT320" s="10614"/>
      <c r="BU320" s="10615"/>
      <c r="BV320" s="10616"/>
      <c r="BW320" s="10617"/>
      <c r="BX320" s="10618"/>
      <c r="BY320" s="10619"/>
      <c r="BZ320" s="10620"/>
      <c r="CA320" s="10621"/>
      <c r="CB320" s="10622"/>
      <c r="CC320" s="10623"/>
      <c r="CD320" s="10624"/>
      <c r="CE320" s="10625"/>
      <c r="CF320" s="10626"/>
      <c r="CG320" s="10627"/>
      <c r="CH320" s="10628"/>
      <c r="CI320" s="10629"/>
      <c r="CJ320" s="10630"/>
      <c r="CK320" s="10631"/>
      <c r="CL320" s="10632"/>
      <c r="CM320" s="10633"/>
      <c r="CN320" s="10634"/>
      <c r="CO320" s="10635"/>
      <c r="CP320" s="10636"/>
      <c r="CQ320" s="10637"/>
      <c r="CR320" s="10638"/>
      <c r="CS320" s="10639"/>
      <c r="CT320" s="10640"/>
      <c r="CU320" s="10641"/>
      <c r="CV320" s="4287" t="s">
        <v>616</v>
      </c>
      <c r="CW320" s="4093"/>
      <c r="CX320" s="4196"/>
      <c r="CY320" s="4196" t="str">
        <f>IF(T320="","",T320)</f>
        <v>Добавить значение признака дифференциации</v>
      </c>
      <c r="CZ320" s="4196"/>
      <c r="DA320" s="4196"/>
      <c r="DB320" s="3858">
        <v>0</v>
      </c>
    </row>
    <row s="10642" customFormat="1" customHeight="1" ht="23.25">
      <c r="A321" s="4183"/>
      <c r="B321" s="4183"/>
      <c r="C321" s="4183"/>
      <c r="D321" s="4183"/>
      <c r="E321" s="4184"/>
      <c r="F321" s="4184"/>
      <c r="G321" s="4184"/>
      <c r="H321" s="4184"/>
      <c r="I321" s="4185"/>
      <c r="J321" s="4186" t="str">
        <f>I316&amp;".2"</f>
        <v>1.15.1.1.2</v>
      </c>
      <c r="K321" s="4183"/>
      <c r="L321" s="4187" t="s">
        <v>538</v>
      </c>
      <c r="M321" s="4188"/>
      <c r="N321" s="4188"/>
      <c r="O321" s="4188"/>
      <c r="P321" s="4189"/>
      <c r="Q321" s="4190" t="s">
        <v>109</v>
      </c>
      <c r="R321" s="4191"/>
      <c r="S321" s="4192" t="str">
        <f>$J321</f>
        <v>1.15.1.1.2</v>
      </c>
      <c r="T321" s="4193" t="s">
        <v>539</v>
      </c>
      <c r="U321" s="4194"/>
      <c r="V321" s="3874"/>
      <c r="W321" s="3875"/>
      <c r="X321" s="3875"/>
      <c r="Y321" s="3875"/>
      <c r="Z321" s="3875"/>
      <c r="AA321" s="3875"/>
      <c r="AB321" s="3876"/>
      <c r="AC321" s="3874" t="s">
        <v>626</v>
      </c>
      <c r="AD321" s="3875"/>
      <c r="AE321" s="3875"/>
      <c r="AF321" s="3875"/>
      <c r="AG321" s="3875"/>
      <c r="AH321" s="3875"/>
      <c r="AI321" s="3875"/>
      <c r="AJ321" s="3874"/>
      <c r="AK321" s="3875"/>
      <c r="AL321" s="3875"/>
      <c r="AM321" s="3875"/>
      <c r="AN321" s="3875"/>
      <c r="AO321" s="3875"/>
      <c r="AP321" s="3876"/>
      <c r="AQ321" s="3874"/>
      <c r="AR321" s="3875"/>
      <c r="AS321" s="3875"/>
      <c r="AT321" s="3875"/>
      <c r="AU321" s="3875"/>
      <c r="AV321" s="3875"/>
      <c r="AW321" s="3876"/>
      <c r="AX321" s="3874"/>
      <c r="AY321" s="3875"/>
      <c r="AZ321" s="3875"/>
      <c r="BA321" s="3875"/>
      <c r="BB321" s="3875"/>
      <c r="BC321" s="3875"/>
      <c r="BD321" s="3876"/>
      <c r="BE321" s="3874"/>
      <c r="BF321" s="3875"/>
      <c r="BG321" s="3875"/>
      <c r="BH321" s="3875"/>
      <c r="BI321" s="3875"/>
      <c r="BJ321" s="3875"/>
      <c r="BK321" s="3876"/>
      <c r="BL321" s="3874"/>
      <c r="BM321" s="3875"/>
      <c r="BN321" s="3875"/>
      <c r="BO321" s="3875"/>
      <c r="BP321" s="3875"/>
      <c r="BQ321" s="3875"/>
      <c r="BR321" s="3876"/>
      <c r="BS321" s="3874"/>
      <c r="BT321" s="3875"/>
      <c r="BU321" s="3875"/>
      <c r="BV321" s="3875"/>
      <c r="BW321" s="3875"/>
      <c r="BX321" s="3875"/>
      <c r="BY321" s="3876"/>
      <c r="BZ321" s="3874"/>
      <c r="CA321" s="3875"/>
      <c r="CB321" s="3875"/>
      <c r="CC321" s="3875"/>
      <c r="CD321" s="3875"/>
      <c r="CE321" s="3875"/>
      <c r="CF321" s="3876"/>
      <c r="CG321" s="3874"/>
      <c r="CH321" s="3875"/>
      <c r="CI321" s="3875"/>
      <c r="CJ321" s="3875"/>
      <c r="CK321" s="3875"/>
      <c r="CL321" s="3875"/>
      <c r="CM321" s="3876"/>
      <c r="CN321" s="3874"/>
      <c r="CO321" s="3875"/>
      <c r="CP321" s="3875"/>
      <c r="CQ321" s="3875"/>
      <c r="CR321" s="3875"/>
      <c r="CS321" s="3875"/>
      <c r="CT321" s="3876"/>
      <c r="CU321" s="3876"/>
      <c r="CV321" s="4195" t="s">
        <v>614</v>
      </c>
      <c r="CW321" s="4093"/>
      <c r="CX321" s="4196"/>
      <c r="CY321" s="4196" t="str">
        <f>IF(T321="","",T321)</f>
        <v>Группа потребителей</v>
      </c>
      <c r="CZ321" s="4196"/>
      <c r="DA321" s="4196"/>
      <c r="DB321" s="3858">
        <v>0</v>
      </c>
    </row>
    <row s="10643" customFormat="1" customHeight="1" ht="23.25">
      <c r="A322" s="4183"/>
      <c r="B322" s="4183"/>
      <c r="C322" s="4183"/>
      <c r="D322" s="4183"/>
      <c r="E322" s="4184"/>
      <c r="F322" s="4184"/>
      <c r="G322" s="4184"/>
      <c r="H322" s="4184"/>
      <c r="I322" s="4185"/>
      <c r="J322" s="4185" t="str">
        <f>I316&amp;".1"</f>
        <v>1.15.1.1.1</v>
      </c>
      <c r="K322" s="4186" t="str">
        <f>J321&amp;".1"</f>
        <v>1.15.1.1.2.1</v>
      </c>
      <c r="L322" s="4187"/>
      <c r="M322" s="4188"/>
      <c r="N322" s="4188"/>
      <c r="O322" s="4188"/>
      <c r="P322" s="4189"/>
      <c r="Q322" s="4189"/>
      <c r="R322" s="4191">
        <v>1</v>
      </c>
      <c r="S322" s="4192" t="str">
        <f>$K322</f>
        <v>1.15.1.1.2.1</v>
      </c>
      <c r="T322" s="4198"/>
      <c r="U322" s="4194"/>
      <c r="V322" s="3878"/>
      <c r="W322" s="3878"/>
      <c r="X322" s="3879"/>
      <c r="Y322" s="3880"/>
      <c r="Z322" s="3881" t="s">
        <v>65</v>
      </c>
      <c r="AA322" s="3880"/>
      <c r="AB322" s="3881" t="s">
        <v>65</v>
      </c>
      <c r="AC322" s="3878">
        <v>51.99</v>
      </c>
      <c r="AD322" s="3878"/>
      <c r="AE322" s="3879"/>
      <c r="AF322" s="3880">
        <v>45292</v>
      </c>
      <c r="AG322" s="3881" t="s">
        <v>65</v>
      </c>
      <c r="AH322" s="4116">
        <v>45473</v>
      </c>
      <c r="AI322" s="3881" t="s">
        <v>65</v>
      </c>
      <c r="AJ322" s="3878">
        <v>54.69</v>
      </c>
      <c r="AK322" s="3878"/>
      <c r="AL322" s="3879"/>
      <c r="AM322" s="3880">
        <v>45474</v>
      </c>
      <c r="AN322" s="3881" t="s">
        <v>65</v>
      </c>
      <c r="AO322" s="3880">
        <v>45657</v>
      </c>
      <c r="AP322" s="3881" t="s">
        <v>65</v>
      </c>
      <c r="AQ322" s="3878">
        <v>54.69</v>
      </c>
      <c r="AR322" s="3878"/>
      <c r="AS322" s="3879"/>
      <c r="AT322" s="3880">
        <v>45658</v>
      </c>
      <c r="AU322" s="3881" t="s">
        <v>65</v>
      </c>
      <c r="AV322" s="3880">
        <v>45838</v>
      </c>
      <c r="AW322" s="3881" t="s">
        <v>65</v>
      </c>
      <c r="AX322" s="3878">
        <v>57.43</v>
      </c>
      <c r="AY322" s="3878"/>
      <c r="AZ322" s="3879"/>
      <c r="BA322" s="3880">
        <v>45839</v>
      </c>
      <c r="BB322" s="3881" t="s">
        <v>65</v>
      </c>
      <c r="BC322" s="3880">
        <v>46022</v>
      </c>
      <c r="BD322" s="3881" t="s">
        <v>65</v>
      </c>
      <c r="BE322" s="3878">
        <v>62.55</v>
      </c>
      <c r="BF322" s="3878"/>
      <c r="BG322" s="3879"/>
      <c r="BH322" s="3880">
        <v>46023</v>
      </c>
      <c r="BI322" s="3881" t="s">
        <v>65</v>
      </c>
      <c r="BJ322" s="3880">
        <v>46203</v>
      </c>
      <c r="BK322" s="3881" t="s">
        <v>65</v>
      </c>
      <c r="BL322" s="3878">
        <v>68.84</v>
      </c>
      <c r="BM322" s="3878"/>
      <c r="BN322" s="3879"/>
      <c r="BO322" s="3880">
        <v>46204</v>
      </c>
      <c r="BP322" s="3881" t="s">
        <v>65</v>
      </c>
      <c r="BQ322" s="3880">
        <v>46387</v>
      </c>
      <c r="BR322" s="3881" t="s">
        <v>65</v>
      </c>
      <c r="BS322" s="3878">
        <v>68.84</v>
      </c>
      <c r="BT322" s="3878"/>
      <c r="BU322" s="3879"/>
      <c r="BV322" s="3880">
        <v>46388</v>
      </c>
      <c r="BW322" s="3881" t="s">
        <v>65</v>
      </c>
      <c r="BX322" s="3880">
        <v>46568</v>
      </c>
      <c r="BY322" s="3881" t="s">
        <v>65</v>
      </c>
      <c r="BZ322" s="3878">
        <v>74.46</v>
      </c>
      <c r="CA322" s="3878"/>
      <c r="CB322" s="3879"/>
      <c r="CC322" s="3880">
        <v>46569</v>
      </c>
      <c r="CD322" s="3881" t="s">
        <v>65</v>
      </c>
      <c r="CE322" s="3880">
        <v>46752</v>
      </c>
      <c r="CF322" s="3881" t="s">
        <v>65</v>
      </c>
      <c r="CG322" s="3878">
        <v>74.46</v>
      </c>
      <c r="CH322" s="3878"/>
      <c r="CI322" s="3879"/>
      <c r="CJ322" s="3880">
        <v>46753</v>
      </c>
      <c r="CK322" s="3881" t="s">
        <v>65</v>
      </c>
      <c r="CL322" s="3880">
        <v>46934</v>
      </c>
      <c r="CM322" s="3881" t="s">
        <v>65</v>
      </c>
      <c r="CN322" s="3878">
        <v>81.66</v>
      </c>
      <c r="CO322" s="3878"/>
      <c r="CP322" s="3879"/>
      <c r="CQ322" s="3880">
        <v>46935</v>
      </c>
      <c r="CR322" s="3881" t="s">
        <v>65</v>
      </c>
      <c r="CS322" s="3880">
        <v>47118</v>
      </c>
      <c r="CT322" s="3881" t="s">
        <v>65</v>
      </c>
      <c r="CU322" s="4199"/>
      <c r="CV32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22" s="4093">
        <f>STRCHECKDATE(V323:CU323)</f>
      </c>
      <c r="CX322" s="4196"/>
      <c r="CY322" s="4196" t="str">
        <f>IF(T322="","",T322)</f>
        <v/>
      </c>
      <c r="CZ322" s="4196"/>
      <c r="DA322" s="4196"/>
      <c r="DB322" s="3858">
        <v>0</v>
      </c>
    </row>
    <row s="10644" customFormat="1" customHeight="1" ht="14.25">
      <c r="A323" s="4183"/>
      <c r="B323" s="4183"/>
      <c r="C323" s="4183"/>
      <c r="D323" s="4183"/>
      <c r="E323" s="4184"/>
      <c r="F323" s="4184"/>
      <c r="G323" s="4184"/>
      <c r="H323" s="4184"/>
      <c r="I323" s="4185"/>
      <c r="J323" s="4185" t="str">
        <f>I316&amp;".1"</f>
        <v>1.15.1.1.1</v>
      </c>
      <c r="K323" s="4186"/>
      <c r="L323" s="4187"/>
      <c r="M323" s="4188"/>
      <c r="N323" s="4188"/>
      <c r="O323" s="4188"/>
      <c r="P323" s="4189"/>
      <c r="Q323" s="4189"/>
      <c r="R323" s="4191"/>
      <c r="S323" s="4202"/>
      <c r="T323" s="4194"/>
      <c r="U323" s="4194"/>
      <c r="V323" s="3885"/>
      <c r="W323" s="3885"/>
      <c r="X323" s="3886" t="str">
        <f>Y322&amp;"-"&amp;AA322</f>
        <v>-</v>
      </c>
      <c r="Y323" s="3887"/>
      <c r="Z323" s="3881"/>
      <c r="AA323" s="3887"/>
      <c r="AB323" s="3881"/>
      <c r="AC323" s="3885"/>
      <c r="AD323" s="3885"/>
      <c r="AE323" s="3886" t="str">
        <f>AF322&amp;"-"&amp;AH322</f>
        <v>45292-45473</v>
      </c>
      <c r="AF323" s="3887"/>
      <c r="AG323" s="3881"/>
      <c r="AH323" s="4118"/>
      <c r="AI323" s="3881"/>
      <c r="AJ323" s="3885"/>
      <c r="AK323" s="3885"/>
      <c r="AL323" s="3886" t="str">
        <f>AM322&amp;"-"&amp;AO322</f>
        <v>45474-45657</v>
      </c>
      <c r="AM323" s="3887"/>
      <c r="AN323" s="3881"/>
      <c r="AO323" s="3887"/>
      <c r="AP323" s="3881"/>
      <c r="AQ323" s="3885"/>
      <c r="AR323" s="3885"/>
      <c r="AS323" s="3886" t="str">
        <f>AT322&amp;"-"&amp;AV322</f>
        <v>45658-45838</v>
      </c>
      <c r="AT323" s="3887"/>
      <c r="AU323" s="3881"/>
      <c r="AV323" s="3887"/>
      <c r="AW323" s="3881"/>
      <c r="AX323" s="3885"/>
      <c r="AY323" s="3885"/>
      <c r="AZ323" s="3886" t="str">
        <f>BA322&amp;"-"&amp;BC322</f>
        <v>45839-46022</v>
      </c>
      <c r="BA323" s="3887"/>
      <c r="BB323" s="3881"/>
      <c r="BC323" s="3887"/>
      <c r="BD323" s="3881"/>
      <c r="BE323" s="3885"/>
      <c r="BF323" s="3885"/>
      <c r="BG323" s="3886" t="str">
        <f>BH322&amp;"-"&amp;BJ322</f>
        <v>46023-46203</v>
      </c>
      <c r="BH323" s="3887"/>
      <c r="BI323" s="3881"/>
      <c r="BJ323" s="3887"/>
      <c r="BK323" s="3881"/>
      <c r="BL323" s="3885"/>
      <c r="BM323" s="3885"/>
      <c r="BN323" s="3886" t="str">
        <f>BO322&amp;"-"&amp;BQ322</f>
        <v>46204-46387</v>
      </c>
      <c r="BO323" s="3887"/>
      <c r="BP323" s="3881"/>
      <c r="BQ323" s="3887"/>
      <c r="BR323" s="3881"/>
      <c r="BS323" s="3885"/>
      <c r="BT323" s="3885"/>
      <c r="BU323" s="3886" t="str">
        <f>BV322&amp;"-"&amp;BX322</f>
        <v>46388-46568</v>
      </c>
      <c r="BV323" s="3887"/>
      <c r="BW323" s="3881"/>
      <c r="BX323" s="3887"/>
      <c r="BY323" s="3881"/>
      <c r="BZ323" s="3885"/>
      <c r="CA323" s="3885"/>
      <c r="CB323" s="3886" t="str">
        <f>CC322&amp;"-"&amp;CE322</f>
        <v>46569-46752</v>
      </c>
      <c r="CC323" s="3887"/>
      <c r="CD323" s="3881"/>
      <c r="CE323" s="3887"/>
      <c r="CF323" s="3881"/>
      <c r="CG323" s="3885"/>
      <c r="CH323" s="3885"/>
      <c r="CI323" s="3886" t="str">
        <f>CJ322&amp;"-"&amp;CL322</f>
        <v>46753-46934</v>
      </c>
      <c r="CJ323" s="3887"/>
      <c r="CK323" s="3881"/>
      <c r="CL323" s="3887"/>
      <c r="CM323" s="3881"/>
      <c r="CN323" s="3885"/>
      <c r="CO323" s="3885"/>
      <c r="CP323" s="3886" t="str">
        <f>CQ322&amp;"-"&amp;CS322</f>
        <v>46935-47118</v>
      </c>
      <c r="CQ323" s="3887"/>
      <c r="CR323" s="3881"/>
      <c r="CS323" s="3887"/>
      <c r="CT323" s="3881"/>
      <c r="CU323" s="4203"/>
      <c r="CV323" s="4200"/>
      <c r="CW323" s="4093"/>
      <c r="CX323" s="4196"/>
      <c r="CY323" s="4196" t="str">
        <f>IF(T323="","",T323)</f>
        <v/>
      </c>
      <c r="CZ323" s="4196"/>
      <c r="DA323" s="4196"/>
      <c r="DB323" s="3858">
        <v>0</v>
      </c>
    </row>
    <row s="10645" customFormat="1" customHeight="1" ht="21">
      <c r="A324" s="4183"/>
      <c r="B324" s="4183"/>
      <c r="C324" s="4183"/>
      <c r="D324" s="4183"/>
      <c r="E324" s="4184"/>
      <c r="F324" s="4184"/>
      <c r="G324" s="4184"/>
      <c r="H324" s="4184"/>
      <c r="I324" s="4185"/>
      <c r="J324" s="4186" t="str">
        <f>I316&amp;".1"</f>
        <v>1.15.1.1.1</v>
      </c>
      <c r="K324" s="4183"/>
      <c r="L324" s="4187"/>
      <c r="M324" s="4188"/>
      <c r="N324" s="4188"/>
      <c r="O324" s="4188"/>
      <c r="P324" s="4189"/>
      <c r="Q324" s="4189"/>
      <c r="R324" s="4205"/>
      <c r="S324" s="10646"/>
      <c r="T324" s="10647" t="s">
        <v>615</v>
      </c>
      <c r="U324" s="10648"/>
      <c r="V324" s="10649"/>
      <c r="W324" s="10650"/>
      <c r="X324" s="10651"/>
      <c r="Y324" s="10652"/>
      <c r="Z324" s="10653"/>
      <c r="AA324" s="10654"/>
      <c r="AB324" s="10655"/>
      <c r="AC324" s="10656"/>
      <c r="AD324" s="10657"/>
      <c r="AE324" s="10658"/>
      <c r="AF324" s="10659"/>
      <c r="AG324" s="10660"/>
      <c r="AH324" s="10661"/>
      <c r="AI324" s="10662"/>
      <c r="AJ324" s="10663"/>
      <c r="AK324" s="10664"/>
      <c r="AL324" s="10665"/>
      <c r="AM324" s="10666"/>
      <c r="AN324" s="10667"/>
      <c r="AO324" s="10668"/>
      <c r="AP324" s="10669"/>
      <c r="AQ324" s="10670"/>
      <c r="AR324" s="10671"/>
      <c r="AS324" s="10672"/>
      <c r="AT324" s="10673"/>
      <c r="AU324" s="10674"/>
      <c r="AV324" s="10675"/>
      <c r="AW324" s="10676"/>
      <c r="AX324" s="10677"/>
      <c r="AY324" s="10678"/>
      <c r="AZ324" s="10679"/>
      <c r="BA324" s="10680"/>
      <c r="BB324" s="10681"/>
      <c r="BC324" s="10682"/>
      <c r="BD324" s="10683"/>
      <c r="BE324" s="10684"/>
      <c r="BF324" s="10685"/>
      <c r="BG324" s="10686"/>
      <c r="BH324" s="10687"/>
      <c r="BI324" s="10688"/>
      <c r="BJ324" s="10689"/>
      <c r="BK324" s="10690"/>
      <c r="BL324" s="10691"/>
      <c r="BM324" s="10692"/>
      <c r="BN324" s="10693"/>
      <c r="BO324" s="10694"/>
      <c r="BP324" s="10695"/>
      <c r="BQ324" s="10696"/>
      <c r="BR324" s="10697"/>
      <c r="BS324" s="10698"/>
      <c r="BT324" s="10699"/>
      <c r="BU324" s="10700"/>
      <c r="BV324" s="10701"/>
      <c r="BW324" s="10702"/>
      <c r="BX324" s="10703"/>
      <c r="BY324" s="10704"/>
      <c r="BZ324" s="10705"/>
      <c r="CA324" s="10706"/>
      <c r="CB324" s="10707"/>
      <c r="CC324" s="10708"/>
      <c r="CD324" s="10709"/>
      <c r="CE324" s="10710"/>
      <c r="CF324" s="10711"/>
      <c r="CG324" s="10712"/>
      <c r="CH324" s="10713"/>
      <c r="CI324" s="10714"/>
      <c r="CJ324" s="10715"/>
      <c r="CK324" s="10716"/>
      <c r="CL324" s="10717"/>
      <c r="CM324" s="10718"/>
      <c r="CN324" s="10719"/>
      <c r="CO324" s="10720"/>
      <c r="CP324" s="10721"/>
      <c r="CQ324" s="10722"/>
      <c r="CR324" s="10723"/>
      <c r="CS324" s="10724"/>
      <c r="CT324" s="10725"/>
      <c r="CU324" s="10726"/>
      <c r="CV324" s="4287" t="s">
        <v>616</v>
      </c>
      <c r="CW324" s="4093"/>
      <c r="CX324" s="4196"/>
      <c r="CY324" s="4196" t="str">
        <f>IF(T324="","",T324)</f>
        <v>Добавить значение признака дифференциации</v>
      </c>
      <c r="CZ324" s="4196"/>
      <c r="DA324" s="4196"/>
      <c r="DB324" s="3858">
        <v>0</v>
      </c>
    </row>
    <row s="10727" customFormat="1" customHeight="1" ht="23.25">
      <c r="A325" s="4183"/>
      <c r="B325" s="4183"/>
      <c r="C325" s="4183"/>
      <c r="D325" s="4183"/>
      <c r="E325" s="4184"/>
      <c r="F325" s="4184"/>
      <c r="G325" s="4184"/>
      <c r="H325" s="4184"/>
      <c r="I325" s="4185"/>
      <c r="J325" s="4186" t="str">
        <f>I316&amp;".3"</f>
        <v>1.15.1.1.3</v>
      </c>
      <c r="K325" s="4183"/>
      <c r="L325" s="4187" t="s">
        <v>538</v>
      </c>
      <c r="M325" s="4188"/>
      <c r="N325" s="4188"/>
      <c r="O325" s="4188"/>
      <c r="P325" s="4189"/>
      <c r="Q325" s="4190" t="s">
        <v>109</v>
      </c>
      <c r="R325" s="4191"/>
      <c r="S325" s="4192" t="str">
        <f>$J325</f>
        <v>1.15.1.1.3</v>
      </c>
      <c r="T325" s="4193" t="s">
        <v>539</v>
      </c>
      <c r="U325" s="4194"/>
      <c r="V325" s="3874"/>
      <c r="W325" s="3875"/>
      <c r="X325" s="3875"/>
      <c r="Y325" s="3875"/>
      <c r="Z325" s="3875"/>
      <c r="AA325" s="3875"/>
      <c r="AB325" s="3876"/>
      <c r="AC325" s="3874" t="s">
        <v>627</v>
      </c>
      <c r="AD325" s="3875"/>
      <c r="AE325" s="3875"/>
      <c r="AF325" s="3875"/>
      <c r="AG325" s="3875"/>
      <c r="AH325" s="3875"/>
      <c r="AI325" s="3875"/>
      <c r="AJ325" s="3874"/>
      <c r="AK325" s="3875"/>
      <c r="AL325" s="3875"/>
      <c r="AM325" s="3875"/>
      <c r="AN325" s="3875"/>
      <c r="AO325" s="3875"/>
      <c r="AP325" s="3876"/>
      <c r="AQ325" s="3874"/>
      <c r="AR325" s="3875"/>
      <c r="AS325" s="3875"/>
      <c r="AT325" s="3875"/>
      <c r="AU325" s="3875"/>
      <c r="AV325" s="3875"/>
      <c r="AW325" s="3876"/>
      <c r="AX325" s="3874"/>
      <c r="AY325" s="3875"/>
      <c r="AZ325" s="3875"/>
      <c r="BA325" s="3875"/>
      <c r="BB325" s="3875"/>
      <c r="BC325" s="3875"/>
      <c r="BD325" s="3876"/>
      <c r="BE325" s="3874"/>
      <c r="BF325" s="3875"/>
      <c r="BG325" s="3875"/>
      <c r="BH325" s="3875"/>
      <c r="BI325" s="3875"/>
      <c r="BJ325" s="3875"/>
      <c r="BK325" s="3876"/>
      <c r="BL325" s="3874"/>
      <c r="BM325" s="3875"/>
      <c r="BN325" s="3875"/>
      <c r="BO325" s="3875"/>
      <c r="BP325" s="3875"/>
      <c r="BQ325" s="3875"/>
      <c r="BR325" s="3876"/>
      <c r="BS325" s="3874"/>
      <c r="BT325" s="3875"/>
      <c r="BU325" s="3875"/>
      <c r="BV325" s="3875"/>
      <c r="BW325" s="3875"/>
      <c r="BX325" s="3875"/>
      <c r="BY325" s="3876"/>
      <c r="BZ325" s="3874"/>
      <c r="CA325" s="3875"/>
      <c r="CB325" s="3875"/>
      <c r="CC325" s="3875"/>
      <c r="CD325" s="3875"/>
      <c r="CE325" s="3875"/>
      <c r="CF325" s="3876"/>
      <c r="CG325" s="3874"/>
      <c r="CH325" s="3875"/>
      <c r="CI325" s="3875"/>
      <c r="CJ325" s="3875"/>
      <c r="CK325" s="3875"/>
      <c r="CL325" s="3875"/>
      <c r="CM325" s="3876"/>
      <c r="CN325" s="3874"/>
      <c r="CO325" s="3875"/>
      <c r="CP325" s="3875"/>
      <c r="CQ325" s="3875"/>
      <c r="CR325" s="3875"/>
      <c r="CS325" s="3875"/>
      <c r="CT325" s="3876"/>
      <c r="CU325" s="3876"/>
      <c r="CV325" s="4195" t="s">
        <v>614</v>
      </c>
      <c r="CW325" s="4093"/>
      <c r="CX325" s="4196"/>
      <c r="CY325" s="4196" t="str">
        <f>IF(T325="","",T325)</f>
        <v>Группа потребителей</v>
      </c>
      <c r="CZ325" s="4196"/>
      <c r="DA325" s="4196"/>
      <c r="DB325" s="3858">
        <v>0</v>
      </c>
    </row>
    <row s="10728" customFormat="1" customHeight="1" ht="23.25">
      <c r="A326" s="4183"/>
      <c r="B326" s="4183"/>
      <c r="C326" s="4183"/>
      <c r="D326" s="4183"/>
      <c r="E326" s="4184"/>
      <c r="F326" s="4184"/>
      <c r="G326" s="4184"/>
      <c r="H326" s="4184"/>
      <c r="I326" s="4185"/>
      <c r="J326" s="4185" t="str">
        <f>I316&amp;".2"</f>
        <v>1.15.1.1.2</v>
      </c>
      <c r="K326" s="4186" t="str">
        <f>J325&amp;".1"</f>
        <v>1.15.1.1.3.1</v>
      </c>
      <c r="L326" s="4187"/>
      <c r="M326" s="4188"/>
      <c r="N326" s="4188"/>
      <c r="O326" s="4188"/>
      <c r="P326" s="4189"/>
      <c r="Q326" s="4189"/>
      <c r="R326" s="4191">
        <v>1</v>
      </c>
      <c r="S326" s="4192" t="str">
        <f>$K326</f>
        <v>1.15.1.1.3.1</v>
      </c>
      <c r="T326" s="4198"/>
      <c r="U326" s="4194"/>
      <c r="V326" s="3878"/>
      <c r="W326" s="3878"/>
      <c r="X326" s="3879"/>
      <c r="Y326" s="3880"/>
      <c r="Z326" s="3881" t="s">
        <v>65</v>
      </c>
      <c r="AA326" s="3880"/>
      <c r="AB326" s="3881" t="s">
        <v>65</v>
      </c>
      <c r="AC326" s="3878">
        <v>51.99</v>
      </c>
      <c r="AD326" s="3878"/>
      <c r="AE326" s="3879"/>
      <c r="AF326" s="3880">
        <v>45292</v>
      </c>
      <c r="AG326" s="3881" t="s">
        <v>65</v>
      </c>
      <c r="AH326" s="4116">
        <v>45473</v>
      </c>
      <c r="AI326" s="3881" t="s">
        <v>65</v>
      </c>
      <c r="AJ326" s="3878">
        <v>54.69</v>
      </c>
      <c r="AK326" s="3878"/>
      <c r="AL326" s="3879"/>
      <c r="AM326" s="3880">
        <v>45474</v>
      </c>
      <c r="AN326" s="3881" t="s">
        <v>65</v>
      </c>
      <c r="AO326" s="3880">
        <v>45657</v>
      </c>
      <c r="AP326" s="3881" t="s">
        <v>65</v>
      </c>
      <c r="AQ326" s="3878">
        <v>54.69</v>
      </c>
      <c r="AR326" s="3878"/>
      <c r="AS326" s="3879"/>
      <c r="AT326" s="3880">
        <v>45658</v>
      </c>
      <c r="AU326" s="3881" t="s">
        <v>65</v>
      </c>
      <c r="AV326" s="3880">
        <v>45838</v>
      </c>
      <c r="AW326" s="3881" t="s">
        <v>65</v>
      </c>
      <c r="AX326" s="3878">
        <v>57.43</v>
      </c>
      <c r="AY326" s="3878"/>
      <c r="AZ326" s="3879"/>
      <c r="BA326" s="3880">
        <v>45839</v>
      </c>
      <c r="BB326" s="3881" t="s">
        <v>65</v>
      </c>
      <c r="BC326" s="3880">
        <v>46022</v>
      </c>
      <c r="BD326" s="3881" t="s">
        <v>65</v>
      </c>
      <c r="BE326" s="3878">
        <v>62.55</v>
      </c>
      <c r="BF326" s="3878"/>
      <c r="BG326" s="3879"/>
      <c r="BH326" s="3880">
        <v>46023</v>
      </c>
      <c r="BI326" s="3881" t="s">
        <v>65</v>
      </c>
      <c r="BJ326" s="3880">
        <v>46203</v>
      </c>
      <c r="BK326" s="3881" t="s">
        <v>65</v>
      </c>
      <c r="BL326" s="3878">
        <v>68.84</v>
      </c>
      <c r="BM326" s="3878"/>
      <c r="BN326" s="3879"/>
      <c r="BO326" s="3880">
        <v>46204</v>
      </c>
      <c r="BP326" s="3881" t="s">
        <v>65</v>
      </c>
      <c r="BQ326" s="3880">
        <v>46387</v>
      </c>
      <c r="BR326" s="3881" t="s">
        <v>65</v>
      </c>
      <c r="BS326" s="3878">
        <v>68.84</v>
      </c>
      <c r="BT326" s="3878"/>
      <c r="BU326" s="3879"/>
      <c r="BV326" s="3880">
        <v>46388</v>
      </c>
      <c r="BW326" s="3881" t="s">
        <v>65</v>
      </c>
      <c r="BX326" s="3880">
        <v>46568</v>
      </c>
      <c r="BY326" s="3881" t="s">
        <v>65</v>
      </c>
      <c r="BZ326" s="3878">
        <v>74.46</v>
      </c>
      <c r="CA326" s="3878"/>
      <c r="CB326" s="3879"/>
      <c r="CC326" s="3880">
        <v>46569</v>
      </c>
      <c r="CD326" s="3881" t="s">
        <v>65</v>
      </c>
      <c r="CE326" s="3880">
        <v>46752</v>
      </c>
      <c r="CF326" s="3881" t="s">
        <v>65</v>
      </c>
      <c r="CG326" s="3878">
        <v>74.46</v>
      </c>
      <c r="CH326" s="3878"/>
      <c r="CI326" s="3879"/>
      <c r="CJ326" s="3880">
        <v>46753</v>
      </c>
      <c r="CK326" s="3881" t="s">
        <v>65</v>
      </c>
      <c r="CL326" s="3880">
        <v>46934</v>
      </c>
      <c r="CM326" s="3881" t="s">
        <v>65</v>
      </c>
      <c r="CN326" s="3878">
        <v>81.66</v>
      </c>
      <c r="CO326" s="3878"/>
      <c r="CP326" s="3879"/>
      <c r="CQ326" s="3880">
        <v>46935</v>
      </c>
      <c r="CR326" s="3881" t="s">
        <v>65</v>
      </c>
      <c r="CS326" s="3880">
        <v>47118</v>
      </c>
      <c r="CT326" s="3881" t="s">
        <v>65</v>
      </c>
      <c r="CU326" s="4199"/>
      <c r="CV32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26" s="4093">
        <f>STRCHECKDATE(V327:CU327)</f>
      </c>
      <c r="CX326" s="4196"/>
      <c r="CY326" s="4196" t="str">
        <f>IF(T326="","",T326)</f>
        <v/>
      </c>
      <c r="CZ326" s="4196"/>
      <c r="DA326" s="4196"/>
      <c r="DB326" s="3858">
        <v>0</v>
      </c>
    </row>
    <row s="10729" customFormat="1" customHeight="1" ht="14.25">
      <c r="A327" s="4183"/>
      <c r="B327" s="4183"/>
      <c r="C327" s="4183"/>
      <c r="D327" s="4183"/>
      <c r="E327" s="4184"/>
      <c r="F327" s="4184"/>
      <c r="G327" s="4184"/>
      <c r="H327" s="4184"/>
      <c r="I327" s="4185"/>
      <c r="J327" s="4185" t="str">
        <f>I316&amp;".2"</f>
        <v>1.15.1.1.2</v>
      </c>
      <c r="K327" s="4186"/>
      <c r="L327" s="4187"/>
      <c r="M327" s="4188"/>
      <c r="N327" s="4188"/>
      <c r="O327" s="4188"/>
      <c r="P327" s="4189"/>
      <c r="Q327" s="4189"/>
      <c r="R327" s="4191"/>
      <c r="S327" s="4202"/>
      <c r="T327" s="4194"/>
      <c r="U327" s="4194"/>
      <c r="V327" s="3885"/>
      <c r="W327" s="3885"/>
      <c r="X327" s="3886" t="str">
        <f>Y326&amp;"-"&amp;AA326</f>
        <v>-</v>
      </c>
      <c r="Y327" s="3887"/>
      <c r="Z327" s="3881"/>
      <c r="AA327" s="3887"/>
      <c r="AB327" s="3881"/>
      <c r="AC327" s="3885"/>
      <c r="AD327" s="3885"/>
      <c r="AE327" s="3886" t="str">
        <f>AF326&amp;"-"&amp;AH326</f>
        <v>45292-45473</v>
      </c>
      <c r="AF327" s="3887"/>
      <c r="AG327" s="3881"/>
      <c r="AH327" s="4118"/>
      <c r="AI327" s="3881"/>
      <c r="AJ327" s="3885"/>
      <c r="AK327" s="3885"/>
      <c r="AL327" s="3886" t="str">
        <f>AM326&amp;"-"&amp;AO326</f>
        <v>45474-45657</v>
      </c>
      <c r="AM327" s="3887"/>
      <c r="AN327" s="3881"/>
      <c r="AO327" s="3887"/>
      <c r="AP327" s="3881"/>
      <c r="AQ327" s="3885"/>
      <c r="AR327" s="3885"/>
      <c r="AS327" s="3886" t="str">
        <f>AT326&amp;"-"&amp;AV326</f>
        <v>45658-45838</v>
      </c>
      <c r="AT327" s="3887"/>
      <c r="AU327" s="3881"/>
      <c r="AV327" s="3887"/>
      <c r="AW327" s="3881"/>
      <c r="AX327" s="3885"/>
      <c r="AY327" s="3885"/>
      <c r="AZ327" s="3886" t="str">
        <f>BA326&amp;"-"&amp;BC326</f>
        <v>45839-46022</v>
      </c>
      <c r="BA327" s="3887"/>
      <c r="BB327" s="3881"/>
      <c r="BC327" s="3887"/>
      <c r="BD327" s="3881"/>
      <c r="BE327" s="3885"/>
      <c r="BF327" s="3885"/>
      <c r="BG327" s="3886" t="str">
        <f>BH326&amp;"-"&amp;BJ326</f>
        <v>46023-46203</v>
      </c>
      <c r="BH327" s="3887"/>
      <c r="BI327" s="3881"/>
      <c r="BJ327" s="3887"/>
      <c r="BK327" s="3881"/>
      <c r="BL327" s="3885"/>
      <c r="BM327" s="3885"/>
      <c r="BN327" s="3886" t="str">
        <f>BO326&amp;"-"&amp;BQ326</f>
        <v>46204-46387</v>
      </c>
      <c r="BO327" s="3887"/>
      <c r="BP327" s="3881"/>
      <c r="BQ327" s="3887"/>
      <c r="BR327" s="3881"/>
      <c r="BS327" s="3885"/>
      <c r="BT327" s="3885"/>
      <c r="BU327" s="3886" t="str">
        <f>BV326&amp;"-"&amp;BX326</f>
        <v>46388-46568</v>
      </c>
      <c r="BV327" s="3887"/>
      <c r="BW327" s="3881"/>
      <c r="BX327" s="3887"/>
      <c r="BY327" s="3881"/>
      <c r="BZ327" s="3885"/>
      <c r="CA327" s="3885"/>
      <c r="CB327" s="3886" t="str">
        <f>CC326&amp;"-"&amp;CE326</f>
        <v>46569-46752</v>
      </c>
      <c r="CC327" s="3887"/>
      <c r="CD327" s="3881"/>
      <c r="CE327" s="3887"/>
      <c r="CF327" s="3881"/>
      <c r="CG327" s="3885"/>
      <c r="CH327" s="3885"/>
      <c r="CI327" s="3886" t="str">
        <f>CJ326&amp;"-"&amp;CL326</f>
        <v>46753-46934</v>
      </c>
      <c r="CJ327" s="3887"/>
      <c r="CK327" s="3881"/>
      <c r="CL327" s="3887"/>
      <c r="CM327" s="3881"/>
      <c r="CN327" s="3885"/>
      <c r="CO327" s="3885"/>
      <c r="CP327" s="3886" t="str">
        <f>CQ326&amp;"-"&amp;CS326</f>
        <v>46935-47118</v>
      </c>
      <c r="CQ327" s="3887"/>
      <c r="CR327" s="3881"/>
      <c r="CS327" s="3887"/>
      <c r="CT327" s="3881"/>
      <c r="CU327" s="4203"/>
      <c r="CV327" s="4200"/>
      <c r="CW327" s="4093"/>
      <c r="CX327" s="4196"/>
      <c r="CY327" s="4196" t="str">
        <f>IF(T327="","",T327)</f>
        <v/>
      </c>
      <c r="CZ327" s="4196"/>
      <c r="DA327" s="4196"/>
      <c r="DB327" s="3858">
        <v>0</v>
      </c>
    </row>
    <row s="10730" customFormat="1" customHeight="1" ht="21">
      <c r="A328" s="4183"/>
      <c r="B328" s="4183"/>
      <c r="C328" s="4183"/>
      <c r="D328" s="4183"/>
      <c r="E328" s="4184"/>
      <c r="F328" s="4184"/>
      <c r="G328" s="4184"/>
      <c r="H328" s="4184"/>
      <c r="I328" s="4185"/>
      <c r="J328" s="4186" t="str">
        <f>I316&amp;".2"</f>
        <v>1.15.1.1.2</v>
      </c>
      <c r="K328" s="4183"/>
      <c r="L328" s="4187"/>
      <c r="M328" s="4188"/>
      <c r="N328" s="4188"/>
      <c r="O328" s="4188"/>
      <c r="P328" s="4189"/>
      <c r="Q328" s="4189"/>
      <c r="R328" s="4205"/>
      <c r="S328" s="10731"/>
      <c r="T328" s="10732" t="s">
        <v>615</v>
      </c>
      <c r="U328" s="10733"/>
      <c r="V328" s="10734"/>
      <c r="W328" s="10735"/>
      <c r="X328" s="10736"/>
      <c r="Y328" s="10737"/>
      <c r="Z328" s="10738"/>
      <c r="AA328" s="10739"/>
      <c r="AB328" s="10740"/>
      <c r="AC328" s="10741"/>
      <c r="AD328" s="10742"/>
      <c r="AE328" s="10743"/>
      <c r="AF328" s="10744"/>
      <c r="AG328" s="10745"/>
      <c r="AH328" s="10746"/>
      <c r="AI328" s="10747"/>
      <c r="AJ328" s="10748"/>
      <c r="AK328" s="10749"/>
      <c r="AL328" s="10750"/>
      <c r="AM328" s="10751"/>
      <c r="AN328" s="10752"/>
      <c r="AO328" s="10753"/>
      <c r="AP328" s="10754"/>
      <c r="AQ328" s="10755"/>
      <c r="AR328" s="10756"/>
      <c r="AS328" s="10757"/>
      <c r="AT328" s="10758"/>
      <c r="AU328" s="10759"/>
      <c r="AV328" s="10760"/>
      <c r="AW328" s="10761"/>
      <c r="AX328" s="10762"/>
      <c r="AY328" s="10763"/>
      <c r="AZ328" s="10764"/>
      <c r="BA328" s="10765"/>
      <c r="BB328" s="10766"/>
      <c r="BC328" s="10767"/>
      <c r="BD328" s="10768"/>
      <c r="BE328" s="10769"/>
      <c r="BF328" s="10770"/>
      <c r="BG328" s="10771"/>
      <c r="BH328" s="10772"/>
      <c r="BI328" s="10773"/>
      <c r="BJ328" s="10774"/>
      <c r="BK328" s="10775"/>
      <c r="BL328" s="10776"/>
      <c r="BM328" s="10777"/>
      <c r="BN328" s="10778"/>
      <c r="BO328" s="10779"/>
      <c r="BP328" s="10780"/>
      <c r="BQ328" s="10781"/>
      <c r="BR328" s="10782"/>
      <c r="BS328" s="10783"/>
      <c r="BT328" s="10784"/>
      <c r="BU328" s="10785"/>
      <c r="BV328" s="10786"/>
      <c r="BW328" s="10787"/>
      <c r="BX328" s="10788"/>
      <c r="BY328" s="10789"/>
      <c r="BZ328" s="10790"/>
      <c r="CA328" s="10791"/>
      <c r="CB328" s="10792"/>
      <c r="CC328" s="10793"/>
      <c r="CD328" s="10794"/>
      <c r="CE328" s="10795"/>
      <c r="CF328" s="10796"/>
      <c r="CG328" s="10797"/>
      <c r="CH328" s="10798"/>
      <c r="CI328" s="10799"/>
      <c r="CJ328" s="10800"/>
      <c r="CK328" s="10801"/>
      <c r="CL328" s="10802"/>
      <c r="CM328" s="10803"/>
      <c r="CN328" s="10804"/>
      <c r="CO328" s="10805"/>
      <c r="CP328" s="10806"/>
      <c r="CQ328" s="10807"/>
      <c r="CR328" s="10808"/>
      <c r="CS328" s="10809"/>
      <c r="CT328" s="10810"/>
      <c r="CU328" s="10811"/>
      <c r="CV328" s="4287" t="s">
        <v>616</v>
      </c>
      <c r="CW328" s="4093"/>
      <c r="CX328" s="4196"/>
      <c r="CY328" s="4196" t="str">
        <f>IF(T328="","",T328)</f>
        <v>Добавить значение признака дифференциации</v>
      </c>
      <c r="CZ328" s="4196"/>
      <c r="DA328" s="4196"/>
      <c r="DB328" s="3858">
        <v>0</v>
      </c>
    </row>
    <row s="10812" customFormat="1" customHeight="1" ht="21">
      <c r="A329" s="4183"/>
      <c r="B329" s="4183"/>
      <c r="C329" s="4183"/>
      <c r="D329" s="4183"/>
      <c r="E329" s="4184"/>
      <c r="F329" s="4184" t="s">
        <v>165</v>
      </c>
      <c r="G329" s="4184"/>
      <c r="H329" s="4184"/>
      <c r="I329" s="4186"/>
      <c r="J329" s="4183"/>
      <c r="K329" s="4183"/>
      <c r="L329" s="4187"/>
      <c r="M329" s="4188"/>
      <c r="N329" s="4188"/>
      <c r="O329" s="4188"/>
      <c r="P329" s="4189"/>
      <c r="Q329" s="4189"/>
      <c r="R329" s="4205"/>
      <c r="S329" s="10813"/>
      <c r="T329" s="10814" t="s">
        <v>544</v>
      </c>
      <c r="U329" s="10815"/>
      <c r="V329" s="10816"/>
      <c r="W329" s="10817"/>
      <c r="X329" s="10818"/>
      <c r="Y329" s="10819"/>
      <c r="Z329" s="10820"/>
      <c r="AA329" s="10821"/>
      <c r="AB329" s="10822"/>
      <c r="AC329" s="10823"/>
      <c r="AD329" s="10824"/>
      <c r="AE329" s="10825"/>
      <c r="AF329" s="10826"/>
      <c r="AG329" s="10827"/>
      <c r="AH329" s="10828"/>
      <c r="AI329" s="10829"/>
      <c r="AJ329" s="10830"/>
      <c r="AK329" s="10831"/>
      <c r="AL329" s="10832"/>
      <c r="AM329" s="10833"/>
      <c r="AN329" s="10834"/>
      <c r="AO329" s="10835"/>
      <c r="AP329" s="10836"/>
      <c r="AQ329" s="10837"/>
      <c r="AR329" s="10838"/>
      <c r="AS329" s="10839"/>
      <c r="AT329" s="10840"/>
      <c r="AU329" s="10841"/>
      <c r="AV329" s="10842"/>
      <c r="AW329" s="10843"/>
      <c r="AX329" s="10844"/>
      <c r="AY329" s="10845"/>
      <c r="AZ329" s="10846"/>
      <c r="BA329" s="10847"/>
      <c r="BB329" s="10848"/>
      <c r="BC329" s="10849"/>
      <c r="BD329" s="10850"/>
      <c r="BE329" s="10851"/>
      <c r="BF329" s="10852"/>
      <c r="BG329" s="10853"/>
      <c r="BH329" s="10854"/>
      <c r="BI329" s="10855"/>
      <c r="BJ329" s="10856"/>
      <c r="BK329" s="10857"/>
      <c r="BL329" s="10858"/>
      <c r="BM329" s="10859"/>
      <c r="BN329" s="10860"/>
      <c r="BO329" s="10861"/>
      <c r="BP329" s="10862"/>
      <c r="BQ329" s="10863"/>
      <c r="BR329" s="10864"/>
      <c r="BS329" s="10865"/>
      <c r="BT329" s="10866"/>
      <c r="BU329" s="10867"/>
      <c r="BV329" s="10868"/>
      <c r="BW329" s="10869"/>
      <c r="BX329" s="10870"/>
      <c r="BY329" s="10871"/>
      <c r="BZ329" s="10872"/>
      <c r="CA329" s="10873"/>
      <c r="CB329" s="10874"/>
      <c r="CC329" s="10875"/>
      <c r="CD329" s="10876"/>
      <c r="CE329" s="10877"/>
      <c r="CF329" s="10878"/>
      <c r="CG329" s="10879"/>
      <c r="CH329" s="10880"/>
      <c r="CI329" s="10881"/>
      <c r="CJ329" s="10882"/>
      <c r="CK329" s="10883"/>
      <c r="CL329" s="10884"/>
      <c r="CM329" s="10885"/>
      <c r="CN329" s="10886"/>
      <c r="CO329" s="10887"/>
      <c r="CP329" s="10888"/>
      <c r="CQ329" s="10889"/>
      <c r="CR329" s="10890"/>
      <c r="CS329" s="10891"/>
      <c r="CT329" s="10892"/>
      <c r="CU329" s="10893"/>
      <c r="CV329" s="10894"/>
      <c r="CW329" s="4093"/>
      <c r="CX329" s="4196"/>
      <c r="CY329" s="4196" t="str">
        <f>IF(T329="","",T329)</f>
        <v>Добавить группу потребителей</v>
      </c>
      <c r="CZ329" s="4196"/>
      <c r="DA329" s="4196"/>
      <c r="DB329" s="3858">
        <v>0</v>
      </c>
    </row>
    <row s="10895" customFormat="1" customHeight="1" ht="14.25">
      <c r="A330" s="4183"/>
      <c r="B330" s="4183"/>
      <c r="C330" s="4183"/>
      <c r="D330" s="4183"/>
      <c r="E330" s="4184"/>
      <c r="F330" s="4184" t="s">
        <v>165</v>
      </c>
      <c r="G330" s="4184"/>
      <c r="H330" s="4500"/>
      <c r="I330" s="4183"/>
      <c r="J330" s="4183"/>
      <c r="K330" s="4183"/>
      <c r="L330" s="4187"/>
      <c r="M330" s="4501"/>
      <c r="N330" s="4501"/>
      <c r="O330" s="4083"/>
      <c r="P330" s="4853"/>
      <c r="Q330" s="4854"/>
      <c r="R330" s="4855"/>
      <c r="S330" s="10896"/>
      <c r="T330" s="10897" t="s">
        <v>617</v>
      </c>
      <c r="U330" s="10898"/>
      <c r="V330" s="10899"/>
      <c r="W330" s="10900"/>
      <c r="X330" s="10901"/>
      <c r="Y330" s="10902"/>
      <c r="Z330" s="10903"/>
      <c r="AA330" s="10904"/>
      <c r="AB330" s="10905"/>
      <c r="AC330" s="10906"/>
      <c r="AD330" s="10907"/>
      <c r="AE330" s="10908"/>
      <c r="AF330" s="10909"/>
      <c r="AG330" s="10910"/>
      <c r="AH330" s="10911"/>
      <c r="AI330" s="10912"/>
      <c r="AJ330" s="10913"/>
      <c r="AK330" s="10914"/>
      <c r="AL330" s="10915"/>
      <c r="AM330" s="10916"/>
      <c r="AN330" s="10917"/>
      <c r="AO330" s="10918"/>
      <c r="AP330" s="10919"/>
      <c r="AQ330" s="10920"/>
      <c r="AR330" s="10921"/>
      <c r="AS330" s="10922"/>
      <c r="AT330" s="10923"/>
      <c r="AU330" s="10924"/>
      <c r="AV330" s="10925"/>
      <c r="AW330" s="10926"/>
      <c r="AX330" s="10927"/>
      <c r="AY330" s="10928"/>
      <c r="AZ330" s="10929"/>
      <c r="BA330" s="10930"/>
      <c r="BB330" s="10931"/>
      <c r="BC330" s="10932"/>
      <c r="BD330" s="10933"/>
      <c r="BE330" s="10934"/>
      <c r="BF330" s="10935"/>
      <c r="BG330" s="10936"/>
      <c r="BH330" s="10937"/>
      <c r="BI330" s="10938"/>
      <c r="BJ330" s="10939"/>
      <c r="BK330" s="10940"/>
      <c r="BL330" s="10941"/>
      <c r="BM330" s="10942"/>
      <c r="BN330" s="10943"/>
      <c r="BO330" s="10944"/>
      <c r="BP330" s="10945"/>
      <c r="BQ330" s="10946"/>
      <c r="BR330" s="10947"/>
      <c r="BS330" s="10948"/>
      <c r="BT330" s="10949"/>
      <c r="BU330" s="10950"/>
      <c r="BV330" s="10951"/>
      <c r="BW330" s="10952"/>
      <c r="BX330" s="10953"/>
      <c r="BY330" s="10954"/>
      <c r="BZ330" s="10955"/>
      <c r="CA330" s="10956"/>
      <c r="CB330" s="10957"/>
      <c r="CC330" s="10958"/>
      <c r="CD330" s="10959"/>
      <c r="CE330" s="10960"/>
      <c r="CF330" s="10961"/>
      <c r="CG330" s="10962"/>
      <c r="CH330" s="10963"/>
      <c r="CI330" s="10964"/>
      <c r="CJ330" s="10965"/>
      <c r="CK330" s="10966"/>
      <c r="CL330" s="10967"/>
      <c r="CM330" s="10968"/>
      <c r="CN330" s="10969"/>
      <c r="CO330" s="10970"/>
      <c r="CP330" s="10971"/>
      <c r="CQ330" s="10972"/>
      <c r="CR330" s="10973"/>
      <c r="CS330" s="10974"/>
      <c r="CT330" s="10975"/>
      <c r="CU330" s="10976"/>
      <c r="CV330" s="10977"/>
      <c r="CW330" s="4093"/>
      <c r="CX330" s="4196"/>
      <c r="CY330" s="4196" t="str">
        <f>IF(T330="","",T330)</f>
        <v>Добавить наименование признака дифференциации</v>
      </c>
      <c r="CZ330" s="4196"/>
      <c r="DA330" s="4196"/>
      <c r="DB330" s="3858">
        <v>0</v>
      </c>
    </row>
    <row s="10978" customFormat="1" customHeight="1" ht="14.25">
      <c r="A331" s="4939"/>
      <c r="B331" s="4939"/>
      <c r="C331" s="4939"/>
      <c r="D331" s="4939"/>
      <c r="E331" s="4184"/>
      <c r="F331" s="4500" t="s">
        <v>165</v>
      </c>
      <c r="G331" s="4939"/>
      <c r="H331" s="4939"/>
      <c r="I331" s="4939"/>
      <c r="J331" s="4939"/>
      <c r="K331" s="4939"/>
      <c r="L331" s="4940"/>
      <c r="M331" s="4941"/>
      <c r="N331" s="4941"/>
      <c r="O331" s="4093"/>
      <c r="P331" s="4942"/>
      <c r="Q331" s="4943"/>
      <c r="R331" s="4942"/>
      <c r="S331" s="4944"/>
      <c r="T331" s="4945" t="s">
        <v>302</v>
      </c>
      <c r="U331" s="4081"/>
      <c r="V331" s="4081"/>
      <c r="W331" s="4081"/>
      <c r="X331" s="4081"/>
      <c r="Y331" s="4081"/>
      <c r="Z331" s="4081"/>
      <c r="AA331" s="4081"/>
      <c r="AB331" s="4081"/>
      <c r="AC331" s="4081"/>
      <c r="AD331" s="4081"/>
      <c r="AE331" s="4081"/>
      <c r="AF331" s="4081"/>
      <c r="AG331" s="4081"/>
      <c r="AH331" s="4081"/>
      <c r="AI331" s="4081"/>
      <c r="AJ331" s="4081"/>
      <c r="AK331" s="4081"/>
      <c r="AL331" s="4081"/>
      <c r="AM331" s="4081"/>
      <c r="AN331" s="4081"/>
      <c r="AO331" s="4081"/>
      <c r="AP331" s="4081"/>
      <c r="AQ331" s="4081"/>
      <c r="AR331" s="4081"/>
      <c r="AS331" s="4081"/>
      <c r="AT331" s="4081"/>
      <c r="AU331" s="4081"/>
      <c r="AV331" s="4081"/>
      <c r="AW331" s="4081"/>
      <c r="AX331" s="4081"/>
      <c r="AY331" s="4081"/>
      <c r="AZ331" s="4081"/>
      <c r="BA331" s="4081"/>
      <c r="BB331" s="4081"/>
      <c r="BC331" s="4081"/>
      <c r="BD331" s="4081"/>
      <c r="BE331" s="4081"/>
      <c r="BF331" s="4081"/>
      <c r="BG331" s="4081"/>
      <c r="BH331" s="4081"/>
      <c r="BI331" s="4081"/>
      <c r="BJ331" s="4081"/>
      <c r="BK331" s="4081"/>
      <c r="BL331" s="4081"/>
      <c r="BM331" s="4081"/>
      <c r="BN331" s="4081"/>
      <c r="BO331" s="4081"/>
      <c r="BP331" s="4081"/>
      <c r="BQ331" s="4081"/>
      <c r="BR331" s="4081"/>
      <c r="BS331" s="4081"/>
      <c r="BT331" s="4081"/>
      <c r="BU331" s="4081"/>
      <c r="BV331" s="4081"/>
      <c r="BW331" s="4081"/>
      <c r="BX331" s="4081"/>
      <c r="BY331" s="4081"/>
      <c r="BZ331" s="4081"/>
      <c r="CA331" s="4081"/>
      <c r="CB331" s="4081"/>
      <c r="CC331" s="4081"/>
      <c r="CD331" s="4081"/>
      <c r="CE331" s="4081"/>
      <c r="CF331" s="4081"/>
      <c r="CG331" s="4081"/>
      <c r="CH331" s="4081"/>
      <c r="CI331" s="4081"/>
      <c r="CJ331" s="4081"/>
      <c r="CK331" s="4081"/>
      <c r="CL331" s="4081"/>
      <c r="CM331" s="4081"/>
      <c r="CN331" s="4081"/>
      <c r="CO331" s="4081"/>
      <c r="CP331" s="4081"/>
      <c r="CQ331" s="4081"/>
      <c r="CR331" s="4081"/>
      <c r="CS331" s="4081"/>
      <c r="CT331" s="4081"/>
      <c r="CU331" s="4081"/>
      <c r="CV331" s="4081"/>
      <c r="CW331" s="4093"/>
      <c r="CX331" s="4196"/>
      <c r="CY331" s="4196" t="str">
        <f>IF(T331="","",T331)</f>
        <v>Добавить централизованную систему для дифференциации</v>
      </c>
      <c r="CZ331" s="4196"/>
      <c r="DA331" s="4196"/>
      <c r="DB331" s="4093">
        <v>0</v>
      </c>
    </row>
    <row s="10979" customFormat="1" customHeight="1" ht="23.25">
      <c r="A332" s="4183"/>
      <c r="B332" s="4183" t="s">
        <v>349</v>
      </c>
      <c r="C332" s="4183"/>
      <c r="D332" s="4183"/>
      <c r="E332" s="4184"/>
      <c r="F332" s="4500" t="s">
        <v>175</v>
      </c>
      <c r="G332" s="4183"/>
      <c r="H332" s="4183"/>
      <c r="I332" s="4183"/>
      <c r="J332" s="4183"/>
      <c r="K332" s="4183"/>
      <c r="L332" s="4187"/>
      <c r="M332" s="4501"/>
      <c r="N332" s="4501"/>
      <c r="O332" s="4501"/>
      <c r="P332" s="4502"/>
      <c r="Q332" s="4503"/>
      <c r="R332" s="4504"/>
      <c r="S332" s="4192" t="str">
        <f>INDEX(PT_DIFFERENTIATION_NUM_TER,MATCH(B332,PT_DIFFERENTIATION_TER_ID,0))</f>
        <v>1.16</v>
      </c>
      <c r="T332" s="4505" t="s">
        <v>529</v>
      </c>
      <c r="U332" s="4194"/>
      <c r="V332" s="3860"/>
      <c r="W332" s="3861"/>
      <c r="X332" s="3861"/>
      <c r="Y332" s="3861"/>
      <c r="Z332" s="3861"/>
      <c r="AA332" s="3861"/>
      <c r="AB332" s="3862"/>
      <c r="AC332" s="3860" t="str">
        <f>INDEX(PT_DIFFERENTIATION_TER,MATCH(B332,PT_DIFFERENTIATION_TER_ID,0))</f>
        <v>Территория 16</v>
      </c>
      <c r="AD332" s="3861"/>
      <c r="AE332" s="3861"/>
      <c r="AF332" s="3861"/>
      <c r="AG332" s="3861"/>
      <c r="AH332" s="3861"/>
      <c r="AI332" s="3861"/>
      <c r="AJ332" s="3860"/>
      <c r="AK332" s="3861"/>
      <c r="AL332" s="3861"/>
      <c r="AM332" s="3861"/>
      <c r="AN332" s="3861"/>
      <c r="AO332" s="3861"/>
      <c r="AP332" s="3862"/>
      <c r="AQ332" s="3860"/>
      <c r="AR332" s="3861"/>
      <c r="AS332" s="3861"/>
      <c r="AT332" s="3861"/>
      <c r="AU332" s="3861"/>
      <c r="AV332" s="3861"/>
      <c r="AW332" s="3862"/>
      <c r="AX332" s="3860"/>
      <c r="AY332" s="3861"/>
      <c r="AZ332" s="3861"/>
      <c r="BA332" s="3861"/>
      <c r="BB332" s="3861"/>
      <c r="BC332" s="3861"/>
      <c r="BD332" s="3862"/>
      <c r="BE332" s="3860"/>
      <c r="BF332" s="3861"/>
      <c r="BG332" s="3861"/>
      <c r="BH332" s="3861"/>
      <c r="BI332" s="3861"/>
      <c r="BJ332" s="3861"/>
      <c r="BK332" s="3862"/>
      <c r="BL332" s="3860"/>
      <c r="BM332" s="3861"/>
      <c r="BN332" s="3861"/>
      <c r="BO332" s="3861"/>
      <c r="BP332" s="3861"/>
      <c r="BQ332" s="3861"/>
      <c r="BR332" s="3862"/>
      <c r="BS332" s="3860"/>
      <c r="BT332" s="3861"/>
      <c r="BU332" s="3861"/>
      <c r="BV332" s="3861"/>
      <c r="BW332" s="3861"/>
      <c r="BX332" s="3861"/>
      <c r="BY332" s="3862"/>
      <c r="BZ332" s="3860"/>
      <c r="CA332" s="3861"/>
      <c r="CB332" s="3861"/>
      <c r="CC332" s="3861"/>
      <c r="CD332" s="3861"/>
      <c r="CE332" s="3861"/>
      <c r="CF332" s="3862"/>
      <c r="CG332" s="3860"/>
      <c r="CH332" s="3861"/>
      <c r="CI332" s="3861"/>
      <c r="CJ332" s="3861"/>
      <c r="CK332" s="3861"/>
      <c r="CL332" s="3861"/>
      <c r="CM332" s="3862"/>
      <c r="CN332" s="3860"/>
      <c r="CO332" s="3861"/>
      <c r="CP332" s="3861"/>
      <c r="CQ332" s="3861"/>
      <c r="CR332" s="3861"/>
      <c r="CS332" s="3861"/>
      <c r="CT332" s="3862"/>
      <c r="CU332" s="3862"/>
      <c r="CV332" s="4287" t="s">
        <v>530</v>
      </c>
      <c r="CW332" s="4093"/>
      <c r="CX332" s="4196"/>
      <c r="CY332" s="4196" t="str">
        <f>IF(T332="","",T332)</f>
        <v>Территория действия тарифа</v>
      </c>
      <c r="CZ332" s="4196"/>
      <c r="DA332" s="4196"/>
      <c r="DB332" s="3858">
        <v>0</v>
      </c>
    </row>
    <row s="10980" customFormat="1" customHeight="1" ht="23.25">
      <c r="A333" s="4183"/>
      <c r="B333" s="4183"/>
      <c r="C333" s="4183" t="s">
        <v>350</v>
      </c>
      <c r="D333" s="4183"/>
      <c r="E333" s="4184"/>
      <c r="F333" s="4184" t="s">
        <v>170</v>
      </c>
      <c r="G333" s="4500">
        <v>1</v>
      </c>
      <c r="H333" s="4183"/>
      <c r="I333" s="4183"/>
      <c r="J333" s="4183"/>
      <c r="K333" s="4183"/>
      <c r="L333" s="4187"/>
      <c r="M333" s="4501"/>
      <c r="N333" s="4501"/>
      <c r="O333" s="4501"/>
      <c r="P333" s="4507"/>
      <c r="Q333" s="4503"/>
      <c r="R333" s="4504"/>
      <c r="S333" s="4192" t="str">
        <f>INDEX(PT_DIFFERENTIATION_NUM_CS,MATCH(C333,PT_DIFFERENTIATION_CS_ID,0))</f>
        <v>1.16.1</v>
      </c>
      <c r="T333" s="4508" t="s">
        <v>610</v>
      </c>
      <c r="U333" s="4194"/>
      <c r="V333" s="3860"/>
      <c r="W333" s="3861"/>
      <c r="X333" s="3861"/>
      <c r="Y333" s="3861"/>
      <c r="Z333" s="3861"/>
      <c r="AA333" s="3861"/>
      <c r="AB333" s="3862"/>
      <c r="AC333" s="3860" t="str">
        <f>INDEX(PT_DIFFERENTIATION_CS,MATCH(C333,PT_DIFFERENTIATION_CS_ID,0))</f>
        <v>без дифференциации</v>
      </c>
      <c r="AD333" s="3861"/>
      <c r="AE333" s="3861"/>
      <c r="AF333" s="3861"/>
      <c r="AG333" s="3861"/>
      <c r="AH333" s="3861"/>
      <c r="AI333" s="3861"/>
      <c r="AJ333" s="3860"/>
      <c r="AK333" s="3861"/>
      <c r="AL333" s="3861"/>
      <c r="AM333" s="3861"/>
      <c r="AN333" s="3861"/>
      <c r="AO333" s="3861"/>
      <c r="AP333" s="3862"/>
      <c r="AQ333" s="3860"/>
      <c r="AR333" s="3861"/>
      <c r="AS333" s="3861"/>
      <c r="AT333" s="3861"/>
      <c r="AU333" s="3861"/>
      <c r="AV333" s="3861"/>
      <c r="AW333" s="3862"/>
      <c r="AX333" s="3860"/>
      <c r="AY333" s="3861"/>
      <c r="AZ333" s="3861"/>
      <c r="BA333" s="3861"/>
      <c r="BB333" s="3861"/>
      <c r="BC333" s="3861"/>
      <c r="BD333" s="3862"/>
      <c r="BE333" s="3860"/>
      <c r="BF333" s="3861"/>
      <c r="BG333" s="3861"/>
      <c r="BH333" s="3861"/>
      <c r="BI333" s="3861"/>
      <c r="BJ333" s="3861"/>
      <c r="BK333" s="3862"/>
      <c r="BL333" s="3860"/>
      <c r="BM333" s="3861"/>
      <c r="BN333" s="3861"/>
      <c r="BO333" s="3861"/>
      <c r="BP333" s="3861"/>
      <c r="BQ333" s="3861"/>
      <c r="BR333" s="3862"/>
      <c r="BS333" s="3860"/>
      <c r="BT333" s="3861"/>
      <c r="BU333" s="3861"/>
      <c r="BV333" s="3861"/>
      <c r="BW333" s="3861"/>
      <c r="BX333" s="3861"/>
      <c r="BY333" s="3862"/>
      <c r="BZ333" s="3860"/>
      <c r="CA333" s="3861"/>
      <c r="CB333" s="3861"/>
      <c r="CC333" s="3861"/>
      <c r="CD333" s="3861"/>
      <c r="CE333" s="3861"/>
      <c r="CF333" s="3862"/>
      <c r="CG333" s="3860"/>
      <c r="CH333" s="3861"/>
      <c r="CI333" s="3861"/>
      <c r="CJ333" s="3861"/>
      <c r="CK333" s="3861"/>
      <c r="CL333" s="3861"/>
      <c r="CM333" s="3862"/>
      <c r="CN333" s="3860"/>
      <c r="CO333" s="3861"/>
      <c r="CP333" s="3861"/>
      <c r="CQ333" s="3861"/>
      <c r="CR333" s="3861"/>
      <c r="CS333" s="3861"/>
      <c r="CT333" s="3862"/>
      <c r="CU333" s="3862"/>
      <c r="CV333" s="4287" t="s">
        <v>611</v>
      </c>
      <c r="CW333" s="4093"/>
      <c r="CX333" s="4196"/>
      <c r="CY333" s="4196" t="str">
        <f>IF(T333="","",T333)</f>
        <v>Наименование централизованной системы холодного водоснабжения</v>
      </c>
      <c r="CZ333" s="4196"/>
      <c r="DA333" s="4196"/>
      <c r="DB333" s="3858">
        <v>0</v>
      </c>
    </row>
    <row s="10981" customFormat="1" customHeight="1" ht="23.25">
      <c r="A334" s="4183"/>
      <c r="B334" s="4183"/>
      <c r="C334" s="4183"/>
      <c r="D334" s="4183"/>
      <c r="E334" s="4184"/>
      <c r="F334" s="4184" t="s">
        <v>170</v>
      </c>
      <c r="G334" s="4184"/>
      <c r="H334" s="4184"/>
      <c r="I334" s="4186" t="str">
        <f>S333&amp;".1"</f>
        <v>1.16.1.1</v>
      </c>
      <c r="J334" s="4183"/>
      <c r="K334" s="4183"/>
      <c r="L334" s="4187"/>
      <c r="M334" s="4188"/>
      <c r="N334" s="4188"/>
      <c r="O334" s="4188"/>
      <c r="P334" s="4189">
        <v>1</v>
      </c>
      <c r="Q334" s="4189"/>
      <c r="R334" s="4205"/>
      <c r="S334" s="4192" t="str">
        <f>$I334</f>
        <v>1.16.1.1</v>
      </c>
      <c r="T334" s="4510" t="s">
        <v>612</v>
      </c>
      <c r="U334" s="4194"/>
      <c r="V334" s="3870"/>
      <c r="W334" s="3871"/>
      <c r="X334" s="3871"/>
      <c r="Y334" s="3871"/>
      <c r="Z334" s="3871"/>
      <c r="AA334" s="3871"/>
      <c r="AB334" s="3872"/>
      <c r="AC334" s="4511"/>
      <c r="AD334" s="4512"/>
      <c r="AE334" s="4512"/>
      <c r="AF334" s="4512"/>
      <c r="AG334" s="4512"/>
      <c r="AH334" s="4512"/>
      <c r="AI334" s="4512"/>
      <c r="AJ334" s="3870"/>
      <c r="AK334" s="3871"/>
      <c r="AL334" s="3871"/>
      <c r="AM334" s="3871"/>
      <c r="AN334" s="3871"/>
      <c r="AO334" s="3871"/>
      <c r="AP334" s="3872"/>
      <c r="AQ334" s="3870"/>
      <c r="AR334" s="3871"/>
      <c r="AS334" s="3871"/>
      <c r="AT334" s="3871"/>
      <c r="AU334" s="3871"/>
      <c r="AV334" s="3871"/>
      <c r="AW334" s="3872"/>
      <c r="AX334" s="3870"/>
      <c r="AY334" s="3871"/>
      <c r="AZ334" s="3871"/>
      <c r="BA334" s="3871"/>
      <c r="BB334" s="3871"/>
      <c r="BC334" s="3871"/>
      <c r="BD334" s="3872"/>
      <c r="BE334" s="3870"/>
      <c r="BF334" s="3871"/>
      <c r="BG334" s="3871"/>
      <c r="BH334" s="3871"/>
      <c r="BI334" s="3871"/>
      <c r="BJ334" s="3871"/>
      <c r="BK334" s="3872"/>
      <c r="BL334" s="3870"/>
      <c r="BM334" s="3871"/>
      <c r="BN334" s="3871"/>
      <c r="BO334" s="3871"/>
      <c r="BP334" s="3871"/>
      <c r="BQ334" s="3871"/>
      <c r="BR334" s="3872"/>
      <c r="BS334" s="3870"/>
      <c r="BT334" s="3871"/>
      <c r="BU334" s="3871"/>
      <c r="BV334" s="3871"/>
      <c r="BW334" s="3871"/>
      <c r="BX334" s="3871"/>
      <c r="BY334" s="3872"/>
      <c r="BZ334" s="3870"/>
      <c r="CA334" s="3871"/>
      <c r="CB334" s="3871"/>
      <c r="CC334" s="3871"/>
      <c r="CD334" s="3871"/>
      <c r="CE334" s="3871"/>
      <c r="CF334" s="3872"/>
      <c r="CG334" s="3870"/>
      <c r="CH334" s="3871"/>
      <c r="CI334" s="3871"/>
      <c r="CJ334" s="3871"/>
      <c r="CK334" s="3871"/>
      <c r="CL334" s="3871"/>
      <c r="CM334" s="3872"/>
      <c r="CN334" s="3870"/>
      <c r="CO334" s="3871"/>
      <c r="CP334" s="3871"/>
      <c r="CQ334" s="3871"/>
      <c r="CR334" s="3871"/>
      <c r="CS334" s="3871"/>
      <c r="CT334" s="3872"/>
      <c r="CU334" s="4513"/>
      <c r="CV334" s="4287" t="s">
        <v>613</v>
      </c>
      <c r="CW334" s="4093"/>
      <c r="CX334" s="4196"/>
      <c r="CY334" s="4196" t="str">
        <f>IF(T334="","",T334)</f>
        <v>Наименование признака дифференциации</v>
      </c>
      <c r="CZ334" s="4196"/>
      <c r="DA334" s="4196"/>
      <c r="DB334" s="3858">
        <v>0</v>
      </c>
    </row>
    <row s="10982" customFormat="1" customHeight="1" ht="23.25">
      <c r="A335" s="4183"/>
      <c r="B335" s="4183"/>
      <c r="C335" s="4183"/>
      <c r="D335" s="4183"/>
      <c r="E335" s="4184"/>
      <c r="F335" s="4184" t="s">
        <v>170</v>
      </c>
      <c r="G335" s="4184"/>
      <c r="H335" s="4184"/>
      <c r="I335" s="4185"/>
      <c r="J335" s="4186" t="str">
        <f>I334&amp;".1"</f>
        <v>1.16.1.1.1</v>
      </c>
      <c r="K335" s="4183"/>
      <c r="L335" s="4187" t="s">
        <v>538</v>
      </c>
      <c r="M335" s="4188"/>
      <c r="N335" s="4188"/>
      <c r="O335" s="4188"/>
      <c r="P335" s="4189"/>
      <c r="Q335" s="4189">
        <v>1</v>
      </c>
      <c r="R335" s="4191"/>
      <c r="S335" s="4192" t="str">
        <f>$J335</f>
        <v>1.16.1.1.1</v>
      </c>
      <c r="T335" s="4193" t="s">
        <v>539</v>
      </c>
      <c r="U335" s="4194"/>
      <c r="V335" s="3874"/>
      <c r="W335" s="3875"/>
      <c r="X335" s="3875"/>
      <c r="Y335" s="3875"/>
      <c r="Z335" s="3875"/>
      <c r="AA335" s="3875"/>
      <c r="AB335" s="3876"/>
      <c r="AC335" s="3874" t="s">
        <v>625</v>
      </c>
      <c r="AD335" s="3875"/>
      <c r="AE335" s="3875"/>
      <c r="AF335" s="3875"/>
      <c r="AG335" s="3875"/>
      <c r="AH335" s="3875"/>
      <c r="AI335" s="3875"/>
      <c r="AJ335" s="3874"/>
      <c r="AK335" s="3875"/>
      <c r="AL335" s="3875"/>
      <c r="AM335" s="3875"/>
      <c r="AN335" s="3875"/>
      <c r="AO335" s="3875"/>
      <c r="AP335" s="3876"/>
      <c r="AQ335" s="3874"/>
      <c r="AR335" s="3875"/>
      <c r="AS335" s="3875"/>
      <c r="AT335" s="3875"/>
      <c r="AU335" s="3875"/>
      <c r="AV335" s="3875"/>
      <c r="AW335" s="3876"/>
      <c r="AX335" s="3874"/>
      <c r="AY335" s="3875"/>
      <c r="AZ335" s="3875"/>
      <c r="BA335" s="3875"/>
      <c r="BB335" s="3875"/>
      <c r="BC335" s="3875"/>
      <c r="BD335" s="3876"/>
      <c r="BE335" s="3874"/>
      <c r="BF335" s="3875"/>
      <c r="BG335" s="3875"/>
      <c r="BH335" s="3875"/>
      <c r="BI335" s="3875"/>
      <c r="BJ335" s="3875"/>
      <c r="BK335" s="3876"/>
      <c r="BL335" s="3874"/>
      <c r="BM335" s="3875"/>
      <c r="BN335" s="3875"/>
      <c r="BO335" s="3875"/>
      <c r="BP335" s="3875"/>
      <c r="BQ335" s="3875"/>
      <c r="BR335" s="3876"/>
      <c r="BS335" s="3874"/>
      <c r="BT335" s="3875"/>
      <c r="BU335" s="3875"/>
      <c r="BV335" s="3875"/>
      <c r="BW335" s="3875"/>
      <c r="BX335" s="3875"/>
      <c r="BY335" s="3876"/>
      <c r="BZ335" s="3874"/>
      <c r="CA335" s="3875"/>
      <c r="CB335" s="3875"/>
      <c r="CC335" s="3875"/>
      <c r="CD335" s="3875"/>
      <c r="CE335" s="3875"/>
      <c r="CF335" s="3876"/>
      <c r="CG335" s="3874"/>
      <c r="CH335" s="3875"/>
      <c r="CI335" s="3875"/>
      <c r="CJ335" s="3875"/>
      <c r="CK335" s="3875"/>
      <c r="CL335" s="3875"/>
      <c r="CM335" s="3876"/>
      <c r="CN335" s="3874"/>
      <c r="CO335" s="3875"/>
      <c r="CP335" s="3875"/>
      <c r="CQ335" s="3875"/>
      <c r="CR335" s="3875"/>
      <c r="CS335" s="3875"/>
      <c r="CT335" s="3876"/>
      <c r="CU335" s="3876"/>
      <c r="CV335" s="4195" t="s">
        <v>614</v>
      </c>
      <c r="CW335" s="4093"/>
      <c r="CX335" s="4196"/>
      <c r="CY335" s="4196" t="str">
        <f>IF(T335="","",T335)</f>
        <v>Группа потребителей</v>
      </c>
      <c r="CZ335" s="4196"/>
      <c r="DA335" s="4196"/>
      <c r="DB335" s="3858">
        <v>0</v>
      </c>
    </row>
    <row s="10983" customFormat="1" customHeight="1" ht="23.25">
      <c r="A336" s="4183"/>
      <c r="B336" s="4183"/>
      <c r="C336" s="4183"/>
      <c r="D336" s="4183"/>
      <c r="E336" s="4184"/>
      <c r="F336" s="4184" t="s">
        <v>170</v>
      </c>
      <c r="G336" s="4184"/>
      <c r="H336" s="4184"/>
      <c r="I336" s="4185"/>
      <c r="J336" s="4185"/>
      <c r="K336" s="4186" t="str">
        <f>J335&amp;".1"</f>
        <v>1.16.1.1.1.1</v>
      </c>
      <c r="L336" s="4187"/>
      <c r="M336" s="4188"/>
      <c r="N336" s="4188"/>
      <c r="O336" s="4188"/>
      <c r="P336" s="4189"/>
      <c r="Q336" s="4189"/>
      <c r="R336" s="4191">
        <v>1</v>
      </c>
      <c r="S336" s="4192" t="str">
        <f>$K336</f>
        <v>1.16.1.1.1.1</v>
      </c>
      <c r="T336" s="4198"/>
      <c r="U336" s="4194"/>
      <c r="V336" s="3878"/>
      <c r="W336" s="3878"/>
      <c r="X336" s="3879"/>
      <c r="Y336" s="3880"/>
      <c r="Z336" s="3881" t="s">
        <v>65</v>
      </c>
      <c r="AA336" s="3880"/>
      <c r="AB336" s="3881" t="s">
        <v>65</v>
      </c>
      <c r="AC336" s="3878">
        <v>49.68</v>
      </c>
      <c r="AD336" s="3878"/>
      <c r="AE336" s="3879"/>
      <c r="AF336" s="3880">
        <v>45292</v>
      </c>
      <c r="AG336" s="3881" t="s">
        <v>65</v>
      </c>
      <c r="AH336" s="4116">
        <v>45473</v>
      </c>
      <c r="AI336" s="3881" t="s">
        <v>65</v>
      </c>
      <c r="AJ336" s="3878">
        <v>54.69</v>
      </c>
      <c r="AK336" s="3878"/>
      <c r="AL336" s="3879"/>
      <c r="AM336" s="3880">
        <v>45474</v>
      </c>
      <c r="AN336" s="3881" t="s">
        <v>65</v>
      </c>
      <c r="AO336" s="3880">
        <v>45657</v>
      </c>
      <c r="AP336" s="3881" t="s">
        <v>65</v>
      </c>
      <c r="AQ336" s="3878">
        <v>54.69</v>
      </c>
      <c r="AR336" s="3878"/>
      <c r="AS336" s="3879"/>
      <c r="AT336" s="3880">
        <v>45658</v>
      </c>
      <c r="AU336" s="3881" t="s">
        <v>65</v>
      </c>
      <c r="AV336" s="3880">
        <v>45838</v>
      </c>
      <c r="AW336" s="3881" t="s">
        <v>65</v>
      </c>
      <c r="AX336" s="3878">
        <v>60.3</v>
      </c>
      <c r="AY336" s="3878"/>
      <c r="AZ336" s="3879"/>
      <c r="BA336" s="3880">
        <v>45839</v>
      </c>
      <c r="BB336" s="3881" t="s">
        <v>65</v>
      </c>
      <c r="BC336" s="3880">
        <v>46022</v>
      </c>
      <c r="BD336" s="3881" t="s">
        <v>65</v>
      </c>
      <c r="BE336" s="3878">
        <v>57.81</v>
      </c>
      <c r="BF336" s="3878"/>
      <c r="BG336" s="3879"/>
      <c r="BH336" s="3880">
        <v>46023</v>
      </c>
      <c r="BI336" s="3881" t="s">
        <v>65</v>
      </c>
      <c r="BJ336" s="3880">
        <v>46203</v>
      </c>
      <c r="BK336" s="3881" t="s">
        <v>65</v>
      </c>
      <c r="BL336" s="3878">
        <v>60.12</v>
      </c>
      <c r="BM336" s="3878"/>
      <c r="BN336" s="3879"/>
      <c r="BO336" s="3880">
        <v>46204</v>
      </c>
      <c r="BP336" s="3881" t="s">
        <v>65</v>
      </c>
      <c r="BQ336" s="3880">
        <v>46387</v>
      </c>
      <c r="BR336" s="3881" t="s">
        <v>65</v>
      </c>
      <c r="BS336" s="3878">
        <v>60.12</v>
      </c>
      <c r="BT336" s="3878"/>
      <c r="BU336" s="3879"/>
      <c r="BV336" s="3880">
        <v>46388</v>
      </c>
      <c r="BW336" s="3881" t="s">
        <v>65</v>
      </c>
      <c r="BX336" s="3880">
        <v>46568</v>
      </c>
      <c r="BY336" s="3881" t="s">
        <v>65</v>
      </c>
      <c r="BZ336" s="3878">
        <v>62.52</v>
      </c>
      <c r="CA336" s="3878"/>
      <c r="CB336" s="3879"/>
      <c r="CC336" s="3880">
        <v>46569</v>
      </c>
      <c r="CD336" s="3881" t="s">
        <v>65</v>
      </c>
      <c r="CE336" s="3880">
        <v>46752</v>
      </c>
      <c r="CF336" s="3881" t="s">
        <v>65</v>
      </c>
      <c r="CG336" s="3878">
        <v>62.52</v>
      </c>
      <c r="CH336" s="3878"/>
      <c r="CI336" s="3879"/>
      <c r="CJ336" s="3880">
        <v>46753</v>
      </c>
      <c r="CK336" s="3881" t="s">
        <v>65</v>
      </c>
      <c r="CL336" s="3880">
        <v>46934</v>
      </c>
      <c r="CM336" s="3881" t="s">
        <v>65</v>
      </c>
      <c r="CN336" s="3878">
        <v>65.02</v>
      </c>
      <c r="CO336" s="3878"/>
      <c r="CP336" s="3879"/>
      <c r="CQ336" s="3880">
        <v>46935</v>
      </c>
      <c r="CR336" s="3881" t="s">
        <v>65</v>
      </c>
      <c r="CS336" s="3880">
        <v>47118</v>
      </c>
      <c r="CT336" s="3881" t="s">
        <v>65</v>
      </c>
      <c r="CU336" s="4199"/>
      <c r="CV336"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36" s="4093">
        <f>STRCHECKDATE(V337:CU337)</f>
      </c>
      <c r="CX336" s="4196"/>
      <c r="CY336" s="4196" t="str">
        <f>IF(T336="","",T336)</f>
        <v/>
      </c>
      <c r="CZ336" s="4196"/>
      <c r="DA336" s="4196"/>
      <c r="DB336" s="3858">
        <v>0</v>
      </c>
    </row>
    <row s="10984" customFormat="1" customHeight="1" ht="14.25">
      <c r="A337" s="4183"/>
      <c r="B337" s="4183"/>
      <c r="C337" s="4183"/>
      <c r="D337" s="4183"/>
      <c r="E337" s="4184"/>
      <c r="F337" s="4184" t="s">
        <v>170</v>
      </c>
      <c r="G337" s="4184"/>
      <c r="H337" s="4184"/>
      <c r="I337" s="4185"/>
      <c r="J337" s="4185"/>
      <c r="K337" s="4186"/>
      <c r="L337" s="4187"/>
      <c r="M337" s="4188"/>
      <c r="N337" s="4188"/>
      <c r="O337" s="4188"/>
      <c r="P337" s="4189"/>
      <c r="Q337" s="4189"/>
      <c r="R337" s="4191"/>
      <c r="S337" s="4202"/>
      <c r="T337" s="4194"/>
      <c r="U337" s="4194"/>
      <c r="V337" s="3885"/>
      <c r="W337" s="3885"/>
      <c r="X337" s="3886" t="str">
        <f>Y336&amp;"-"&amp;AA336</f>
        <v>-</v>
      </c>
      <c r="Y337" s="3887"/>
      <c r="Z337" s="3881"/>
      <c r="AA337" s="3887"/>
      <c r="AB337" s="3881"/>
      <c r="AC337" s="3885"/>
      <c r="AD337" s="3885"/>
      <c r="AE337" s="3886" t="str">
        <f>AF336&amp;"-"&amp;AH336</f>
        <v>45292-45473</v>
      </c>
      <c r="AF337" s="3887"/>
      <c r="AG337" s="3881"/>
      <c r="AH337" s="4118"/>
      <c r="AI337" s="3881"/>
      <c r="AJ337" s="3885"/>
      <c r="AK337" s="3885"/>
      <c r="AL337" s="3886" t="str">
        <f>AM336&amp;"-"&amp;AO336</f>
        <v>45474-45657</v>
      </c>
      <c r="AM337" s="3887"/>
      <c r="AN337" s="3881"/>
      <c r="AO337" s="3887"/>
      <c r="AP337" s="3881"/>
      <c r="AQ337" s="3885"/>
      <c r="AR337" s="3885"/>
      <c r="AS337" s="3886" t="str">
        <f>AT336&amp;"-"&amp;AV336</f>
        <v>45658-45838</v>
      </c>
      <c r="AT337" s="3887"/>
      <c r="AU337" s="3881"/>
      <c r="AV337" s="3887"/>
      <c r="AW337" s="3881"/>
      <c r="AX337" s="3885"/>
      <c r="AY337" s="3885"/>
      <c r="AZ337" s="3886" t="str">
        <f>BA336&amp;"-"&amp;BC336</f>
        <v>45839-46022</v>
      </c>
      <c r="BA337" s="3887"/>
      <c r="BB337" s="3881"/>
      <c r="BC337" s="3887"/>
      <c r="BD337" s="3881"/>
      <c r="BE337" s="3885"/>
      <c r="BF337" s="3885"/>
      <c r="BG337" s="3886" t="str">
        <f>BH336&amp;"-"&amp;BJ336</f>
        <v>46023-46203</v>
      </c>
      <c r="BH337" s="3887"/>
      <c r="BI337" s="3881"/>
      <c r="BJ337" s="3887"/>
      <c r="BK337" s="3881"/>
      <c r="BL337" s="3885"/>
      <c r="BM337" s="3885"/>
      <c r="BN337" s="3886" t="str">
        <f>BO336&amp;"-"&amp;BQ336</f>
        <v>46204-46387</v>
      </c>
      <c r="BO337" s="3887"/>
      <c r="BP337" s="3881"/>
      <c r="BQ337" s="3887"/>
      <c r="BR337" s="3881"/>
      <c r="BS337" s="3885"/>
      <c r="BT337" s="3885"/>
      <c r="BU337" s="3886" t="str">
        <f>BV336&amp;"-"&amp;BX336</f>
        <v>46388-46568</v>
      </c>
      <c r="BV337" s="3887"/>
      <c r="BW337" s="3881"/>
      <c r="BX337" s="3887"/>
      <c r="BY337" s="3881"/>
      <c r="BZ337" s="3885"/>
      <c r="CA337" s="3885"/>
      <c r="CB337" s="3886" t="str">
        <f>CC336&amp;"-"&amp;CE336</f>
        <v>46569-46752</v>
      </c>
      <c r="CC337" s="3887"/>
      <c r="CD337" s="3881"/>
      <c r="CE337" s="3887"/>
      <c r="CF337" s="3881"/>
      <c r="CG337" s="3885"/>
      <c r="CH337" s="3885"/>
      <c r="CI337" s="3886" t="str">
        <f>CJ336&amp;"-"&amp;CL336</f>
        <v>46753-46934</v>
      </c>
      <c r="CJ337" s="3887"/>
      <c r="CK337" s="3881"/>
      <c r="CL337" s="3887"/>
      <c r="CM337" s="3881"/>
      <c r="CN337" s="3885"/>
      <c r="CO337" s="3885"/>
      <c r="CP337" s="3886" t="str">
        <f>CQ336&amp;"-"&amp;CS336</f>
        <v>46935-47118</v>
      </c>
      <c r="CQ337" s="3887"/>
      <c r="CR337" s="3881"/>
      <c r="CS337" s="3887"/>
      <c r="CT337" s="3881"/>
      <c r="CU337" s="4203"/>
      <c r="CV337" s="4200"/>
      <c r="CW337" s="4093"/>
      <c r="CX337" s="4196"/>
      <c r="CY337" s="4196" t="str">
        <f>IF(T337="","",T337)</f>
        <v/>
      </c>
      <c r="CZ337" s="4196"/>
      <c r="DA337" s="4196"/>
      <c r="DB337" s="3858">
        <v>0</v>
      </c>
    </row>
    <row s="10985" customFormat="1" customHeight="1" ht="21">
      <c r="A338" s="4183"/>
      <c r="B338" s="4183"/>
      <c r="C338" s="4183"/>
      <c r="D338" s="4183"/>
      <c r="E338" s="4184"/>
      <c r="F338" s="4184" t="s">
        <v>170</v>
      </c>
      <c r="G338" s="4184"/>
      <c r="H338" s="4184"/>
      <c r="I338" s="4185"/>
      <c r="J338" s="4186"/>
      <c r="K338" s="4183"/>
      <c r="L338" s="4187"/>
      <c r="M338" s="4188"/>
      <c r="N338" s="4188"/>
      <c r="O338" s="4188"/>
      <c r="P338" s="4189"/>
      <c r="Q338" s="4189"/>
      <c r="R338" s="4205"/>
      <c r="S338" s="10986"/>
      <c r="T338" s="10987" t="s">
        <v>615</v>
      </c>
      <c r="U338" s="10988"/>
      <c r="V338" s="10989"/>
      <c r="W338" s="10990"/>
      <c r="X338" s="10991"/>
      <c r="Y338" s="10992"/>
      <c r="Z338" s="10993"/>
      <c r="AA338" s="10994"/>
      <c r="AB338" s="10995"/>
      <c r="AC338" s="10996"/>
      <c r="AD338" s="10997"/>
      <c r="AE338" s="10998"/>
      <c r="AF338" s="10999"/>
      <c r="AG338" s="11000"/>
      <c r="AH338" s="11001"/>
      <c r="AI338" s="11002"/>
      <c r="AJ338" s="11003"/>
      <c r="AK338" s="11004"/>
      <c r="AL338" s="11005"/>
      <c r="AM338" s="11006"/>
      <c r="AN338" s="11007"/>
      <c r="AO338" s="11008"/>
      <c r="AP338" s="11009"/>
      <c r="AQ338" s="11010"/>
      <c r="AR338" s="11011"/>
      <c r="AS338" s="11012"/>
      <c r="AT338" s="11013"/>
      <c r="AU338" s="11014"/>
      <c r="AV338" s="11015"/>
      <c r="AW338" s="11016"/>
      <c r="AX338" s="11017"/>
      <c r="AY338" s="11018"/>
      <c r="AZ338" s="11019"/>
      <c r="BA338" s="11020"/>
      <c r="BB338" s="11021"/>
      <c r="BC338" s="11022"/>
      <c r="BD338" s="11023"/>
      <c r="BE338" s="11024"/>
      <c r="BF338" s="11025"/>
      <c r="BG338" s="11026"/>
      <c r="BH338" s="11027"/>
      <c r="BI338" s="11028"/>
      <c r="BJ338" s="11029"/>
      <c r="BK338" s="11030"/>
      <c r="BL338" s="11031"/>
      <c r="BM338" s="11032"/>
      <c r="BN338" s="11033"/>
      <c r="BO338" s="11034"/>
      <c r="BP338" s="11035"/>
      <c r="BQ338" s="11036"/>
      <c r="BR338" s="11037"/>
      <c r="BS338" s="11038"/>
      <c r="BT338" s="11039"/>
      <c r="BU338" s="11040"/>
      <c r="BV338" s="11041"/>
      <c r="BW338" s="11042"/>
      <c r="BX338" s="11043"/>
      <c r="BY338" s="11044"/>
      <c r="BZ338" s="11045"/>
      <c r="CA338" s="11046"/>
      <c r="CB338" s="11047"/>
      <c r="CC338" s="11048"/>
      <c r="CD338" s="11049"/>
      <c r="CE338" s="11050"/>
      <c r="CF338" s="11051"/>
      <c r="CG338" s="11052"/>
      <c r="CH338" s="11053"/>
      <c r="CI338" s="11054"/>
      <c r="CJ338" s="11055"/>
      <c r="CK338" s="11056"/>
      <c r="CL338" s="11057"/>
      <c r="CM338" s="11058"/>
      <c r="CN338" s="11059"/>
      <c r="CO338" s="11060"/>
      <c r="CP338" s="11061"/>
      <c r="CQ338" s="11062"/>
      <c r="CR338" s="11063"/>
      <c r="CS338" s="11064"/>
      <c r="CT338" s="11065"/>
      <c r="CU338" s="11066"/>
      <c r="CV338" s="4287" t="s">
        <v>616</v>
      </c>
      <c r="CW338" s="4093"/>
      <c r="CX338" s="4196"/>
      <c r="CY338" s="4196" t="str">
        <f>IF(T338="","",T338)</f>
        <v>Добавить значение признака дифференциации</v>
      </c>
      <c r="CZ338" s="4196"/>
      <c r="DA338" s="4196"/>
      <c r="DB338" s="3858">
        <v>0</v>
      </c>
    </row>
    <row s="11067" customFormat="1" customHeight="1" ht="23.25">
      <c r="A339" s="4183"/>
      <c r="B339" s="4183"/>
      <c r="C339" s="4183"/>
      <c r="D339" s="4183"/>
      <c r="E339" s="4184"/>
      <c r="F339" s="4184"/>
      <c r="G339" s="4184"/>
      <c r="H339" s="4184"/>
      <c r="I339" s="4185"/>
      <c r="J339" s="4186" t="str">
        <f>I334&amp;".2"</f>
        <v>1.16.1.1.2</v>
      </c>
      <c r="K339" s="4183"/>
      <c r="L339" s="4187" t="s">
        <v>538</v>
      </c>
      <c r="M339" s="4188"/>
      <c r="N339" s="4188"/>
      <c r="O339" s="4188"/>
      <c r="P339" s="4189"/>
      <c r="Q339" s="4190" t="s">
        <v>109</v>
      </c>
      <c r="R339" s="4191"/>
      <c r="S339" s="4192" t="str">
        <f>$J339</f>
        <v>1.16.1.1.2</v>
      </c>
      <c r="T339" s="4193" t="s">
        <v>539</v>
      </c>
      <c r="U339" s="4194"/>
      <c r="V339" s="3874"/>
      <c r="W339" s="3875"/>
      <c r="X339" s="3875"/>
      <c r="Y339" s="3875"/>
      <c r="Z339" s="3875"/>
      <c r="AA339" s="3875"/>
      <c r="AB339" s="3876"/>
      <c r="AC339" s="3874" t="s">
        <v>626</v>
      </c>
      <c r="AD339" s="3875"/>
      <c r="AE339" s="3875"/>
      <c r="AF339" s="3875"/>
      <c r="AG339" s="3875"/>
      <c r="AH339" s="3875"/>
      <c r="AI339" s="3875"/>
      <c r="AJ339" s="3874"/>
      <c r="AK339" s="3875"/>
      <c r="AL339" s="3875"/>
      <c r="AM339" s="3875"/>
      <c r="AN339" s="3875"/>
      <c r="AO339" s="3875"/>
      <c r="AP339" s="3876"/>
      <c r="AQ339" s="3874"/>
      <c r="AR339" s="3875"/>
      <c r="AS339" s="3875"/>
      <c r="AT339" s="3875"/>
      <c r="AU339" s="3875"/>
      <c r="AV339" s="3875"/>
      <c r="AW339" s="3876"/>
      <c r="AX339" s="3874"/>
      <c r="AY339" s="3875"/>
      <c r="AZ339" s="3875"/>
      <c r="BA339" s="3875"/>
      <c r="BB339" s="3875"/>
      <c r="BC339" s="3875"/>
      <c r="BD339" s="3876"/>
      <c r="BE339" s="3874"/>
      <c r="BF339" s="3875"/>
      <c r="BG339" s="3875"/>
      <c r="BH339" s="3875"/>
      <c r="BI339" s="3875"/>
      <c r="BJ339" s="3875"/>
      <c r="BK339" s="3876"/>
      <c r="BL339" s="3874"/>
      <c r="BM339" s="3875"/>
      <c r="BN339" s="3875"/>
      <c r="BO339" s="3875"/>
      <c r="BP339" s="3875"/>
      <c r="BQ339" s="3875"/>
      <c r="BR339" s="3876"/>
      <c r="BS339" s="3874"/>
      <c r="BT339" s="3875"/>
      <c r="BU339" s="3875"/>
      <c r="BV339" s="3875"/>
      <c r="BW339" s="3875"/>
      <c r="BX339" s="3875"/>
      <c r="BY339" s="3876"/>
      <c r="BZ339" s="3874"/>
      <c r="CA339" s="3875"/>
      <c r="CB339" s="3875"/>
      <c r="CC339" s="3875"/>
      <c r="CD339" s="3875"/>
      <c r="CE339" s="3875"/>
      <c r="CF339" s="3876"/>
      <c r="CG339" s="3874"/>
      <c r="CH339" s="3875"/>
      <c r="CI339" s="3875"/>
      <c r="CJ339" s="3875"/>
      <c r="CK339" s="3875"/>
      <c r="CL339" s="3875"/>
      <c r="CM339" s="3876"/>
      <c r="CN339" s="3874"/>
      <c r="CO339" s="3875"/>
      <c r="CP339" s="3875"/>
      <c r="CQ339" s="3875"/>
      <c r="CR339" s="3875"/>
      <c r="CS339" s="3875"/>
      <c r="CT339" s="3876"/>
      <c r="CU339" s="3876"/>
      <c r="CV339" s="4195" t="s">
        <v>614</v>
      </c>
      <c r="CW339" s="4093"/>
      <c r="CX339" s="4196"/>
      <c r="CY339" s="4196" t="str">
        <f>IF(T339="","",T339)</f>
        <v>Группа потребителей</v>
      </c>
      <c r="CZ339" s="4196"/>
      <c r="DA339" s="4196"/>
      <c r="DB339" s="3858">
        <v>0</v>
      </c>
    </row>
    <row s="11068" customFormat="1" customHeight="1" ht="23.25">
      <c r="A340" s="4183"/>
      <c r="B340" s="4183"/>
      <c r="C340" s="4183"/>
      <c r="D340" s="4183"/>
      <c r="E340" s="4184"/>
      <c r="F340" s="4184"/>
      <c r="G340" s="4184"/>
      <c r="H340" s="4184"/>
      <c r="I340" s="4185"/>
      <c r="J340" s="4185" t="str">
        <f>I334&amp;".1"</f>
        <v>1.16.1.1.1</v>
      </c>
      <c r="K340" s="4186" t="str">
        <f>J339&amp;".1"</f>
        <v>1.16.1.1.2.1</v>
      </c>
      <c r="L340" s="4187"/>
      <c r="M340" s="4188"/>
      <c r="N340" s="4188"/>
      <c r="O340" s="4188"/>
      <c r="P340" s="4189"/>
      <c r="Q340" s="4189"/>
      <c r="R340" s="4191">
        <v>1</v>
      </c>
      <c r="S340" s="4192" t="str">
        <f>$K340</f>
        <v>1.16.1.1.2.1</v>
      </c>
      <c r="T340" s="4198"/>
      <c r="U340" s="4194"/>
      <c r="V340" s="3878"/>
      <c r="W340" s="3878"/>
      <c r="X340" s="3879"/>
      <c r="Y340" s="3880"/>
      <c r="Z340" s="3881" t="s">
        <v>65</v>
      </c>
      <c r="AA340" s="3880"/>
      <c r="AB340" s="3881" t="s">
        <v>65</v>
      </c>
      <c r="AC340" s="3878">
        <v>51.99</v>
      </c>
      <c r="AD340" s="3878"/>
      <c r="AE340" s="3879"/>
      <c r="AF340" s="3880">
        <v>45292</v>
      </c>
      <c r="AG340" s="3881" t="s">
        <v>65</v>
      </c>
      <c r="AH340" s="4116">
        <v>45473</v>
      </c>
      <c r="AI340" s="3881" t="s">
        <v>65</v>
      </c>
      <c r="AJ340" s="3878">
        <v>54.69</v>
      </c>
      <c r="AK340" s="3878"/>
      <c r="AL340" s="3879"/>
      <c r="AM340" s="3880">
        <v>45474</v>
      </c>
      <c r="AN340" s="3881" t="s">
        <v>65</v>
      </c>
      <c r="AO340" s="3880">
        <v>45657</v>
      </c>
      <c r="AP340" s="3881" t="s">
        <v>65</v>
      </c>
      <c r="AQ340" s="3878">
        <v>54.69</v>
      </c>
      <c r="AR340" s="3878"/>
      <c r="AS340" s="3879"/>
      <c r="AT340" s="3880">
        <v>45658</v>
      </c>
      <c r="AU340" s="3881" t="s">
        <v>65</v>
      </c>
      <c r="AV340" s="3880">
        <v>45838</v>
      </c>
      <c r="AW340" s="3881" t="s">
        <v>65</v>
      </c>
      <c r="AX340" s="3878">
        <v>57.43</v>
      </c>
      <c r="AY340" s="3878"/>
      <c r="AZ340" s="3879"/>
      <c r="BA340" s="3880">
        <v>45839</v>
      </c>
      <c r="BB340" s="3881" t="s">
        <v>65</v>
      </c>
      <c r="BC340" s="3880">
        <v>46022</v>
      </c>
      <c r="BD340" s="3881" t="s">
        <v>65</v>
      </c>
      <c r="BE340" s="3878">
        <v>62.55</v>
      </c>
      <c r="BF340" s="3878"/>
      <c r="BG340" s="3879"/>
      <c r="BH340" s="3880">
        <v>46023</v>
      </c>
      <c r="BI340" s="3881" t="s">
        <v>65</v>
      </c>
      <c r="BJ340" s="3880">
        <v>46203</v>
      </c>
      <c r="BK340" s="3881" t="s">
        <v>65</v>
      </c>
      <c r="BL340" s="3878">
        <v>68.84</v>
      </c>
      <c r="BM340" s="3878"/>
      <c r="BN340" s="3879"/>
      <c r="BO340" s="3880">
        <v>46204</v>
      </c>
      <c r="BP340" s="3881" t="s">
        <v>65</v>
      </c>
      <c r="BQ340" s="3880">
        <v>46387</v>
      </c>
      <c r="BR340" s="3881" t="s">
        <v>65</v>
      </c>
      <c r="BS340" s="3878">
        <v>68.84</v>
      </c>
      <c r="BT340" s="3878"/>
      <c r="BU340" s="3879"/>
      <c r="BV340" s="3880">
        <v>46388</v>
      </c>
      <c r="BW340" s="3881" t="s">
        <v>65</v>
      </c>
      <c r="BX340" s="3880">
        <v>46568</v>
      </c>
      <c r="BY340" s="3881" t="s">
        <v>65</v>
      </c>
      <c r="BZ340" s="3878">
        <v>74.46</v>
      </c>
      <c r="CA340" s="3878"/>
      <c r="CB340" s="3879"/>
      <c r="CC340" s="3880">
        <v>46569</v>
      </c>
      <c r="CD340" s="3881" t="s">
        <v>65</v>
      </c>
      <c r="CE340" s="3880">
        <v>46752</v>
      </c>
      <c r="CF340" s="3881" t="s">
        <v>65</v>
      </c>
      <c r="CG340" s="3878">
        <v>74.46</v>
      </c>
      <c r="CH340" s="3878"/>
      <c r="CI340" s="3879"/>
      <c r="CJ340" s="3880">
        <v>46753</v>
      </c>
      <c r="CK340" s="3881" t="s">
        <v>65</v>
      </c>
      <c r="CL340" s="3880">
        <v>46934</v>
      </c>
      <c r="CM340" s="3881" t="s">
        <v>65</v>
      </c>
      <c r="CN340" s="3878">
        <v>81.66</v>
      </c>
      <c r="CO340" s="3878"/>
      <c r="CP340" s="3879"/>
      <c r="CQ340" s="3880">
        <v>46935</v>
      </c>
      <c r="CR340" s="3881" t="s">
        <v>65</v>
      </c>
      <c r="CS340" s="3880">
        <v>47118</v>
      </c>
      <c r="CT340" s="3881" t="s">
        <v>65</v>
      </c>
      <c r="CU340" s="4199"/>
      <c r="CV34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40" s="4093">
        <f>STRCHECKDATE(V341:CU341)</f>
      </c>
      <c r="CX340" s="4196"/>
      <c r="CY340" s="4196" t="str">
        <f>IF(T340="","",T340)</f>
        <v/>
      </c>
      <c r="CZ340" s="4196"/>
      <c r="DA340" s="4196"/>
      <c r="DB340" s="3858">
        <v>0</v>
      </c>
    </row>
    <row s="11069" customFormat="1" customHeight="1" ht="14.25">
      <c r="A341" s="4183"/>
      <c r="B341" s="4183"/>
      <c r="C341" s="4183"/>
      <c r="D341" s="4183"/>
      <c r="E341" s="4184"/>
      <c r="F341" s="4184"/>
      <c r="G341" s="4184"/>
      <c r="H341" s="4184"/>
      <c r="I341" s="4185"/>
      <c r="J341" s="4185" t="str">
        <f>I334&amp;".1"</f>
        <v>1.16.1.1.1</v>
      </c>
      <c r="K341" s="4186"/>
      <c r="L341" s="4187"/>
      <c r="M341" s="4188"/>
      <c r="N341" s="4188"/>
      <c r="O341" s="4188"/>
      <c r="P341" s="4189"/>
      <c r="Q341" s="4189"/>
      <c r="R341" s="4191"/>
      <c r="S341" s="4202"/>
      <c r="T341" s="4194"/>
      <c r="U341" s="4194"/>
      <c r="V341" s="3885"/>
      <c r="W341" s="3885"/>
      <c r="X341" s="3886" t="str">
        <f>Y340&amp;"-"&amp;AA340</f>
        <v>-</v>
      </c>
      <c r="Y341" s="3887"/>
      <c r="Z341" s="3881"/>
      <c r="AA341" s="3887"/>
      <c r="AB341" s="3881"/>
      <c r="AC341" s="3885"/>
      <c r="AD341" s="3885"/>
      <c r="AE341" s="3886" t="str">
        <f>AF340&amp;"-"&amp;AH340</f>
        <v>45292-45473</v>
      </c>
      <c r="AF341" s="3887"/>
      <c r="AG341" s="3881"/>
      <c r="AH341" s="4118"/>
      <c r="AI341" s="3881"/>
      <c r="AJ341" s="3885"/>
      <c r="AK341" s="3885"/>
      <c r="AL341" s="3886" t="str">
        <f>AM340&amp;"-"&amp;AO340</f>
        <v>45474-45657</v>
      </c>
      <c r="AM341" s="3887"/>
      <c r="AN341" s="3881"/>
      <c r="AO341" s="3887"/>
      <c r="AP341" s="3881"/>
      <c r="AQ341" s="3885"/>
      <c r="AR341" s="3885"/>
      <c r="AS341" s="3886" t="str">
        <f>AT340&amp;"-"&amp;AV340</f>
        <v>45658-45838</v>
      </c>
      <c r="AT341" s="3887"/>
      <c r="AU341" s="3881"/>
      <c r="AV341" s="3887"/>
      <c r="AW341" s="3881"/>
      <c r="AX341" s="3885"/>
      <c r="AY341" s="3885"/>
      <c r="AZ341" s="3886" t="str">
        <f>BA340&amp;"-"&amp;BC340</f>
        <v>45839-46022</v>
      </c>
      <c r="BA341" s="3887"/>
      <c r="BB341" s="3881"/>
      <c r="BC341" s="3887"/>
      <c r="BD341" s="3881"/>
      <c r="BE341" s="3885"/>
      <c r="BF341" s="3885"/>
      <c r="BG341" s="3886" t="str">
        <f>BH340&amp;"-"&amp;BJ340</f>
        <v>46023-46203</v>
      </c>
      <c r="BH341" s="3887"/>
      <c r="BI341" s="3881"/>
      <c r="BJ341" s="3887"/>
      <c r="BK341" s="3881"/>
      <c r="BL341" s="3885"/>
      <c r="BM341" s="3885"/>
      <c r="BN341" s="3886" t="str">
        <f>BO340&amp;"-"&amp;BQ340</f>
        <v>46204-46387</v>
      </c>
      <c r="BO341" s="3887"/>
      <c r="BP341" s="3881"/>
      <c r="BQ341" s="3887"/>
      <c r="BR341" s="3881"/>
      <c r="BS341" s="3885"/>
      <c r="BT341" s="3885"/>
      <c r="BU341" s="3886" t="str">
        <f>BV340&amp;"-"&amp;BX340</f>
        <v>46388-46568</v>
      </c>
      <c r="BV341" s="3887"/>
      <c r="BW341" s="3881"/>
      <c r="BX341" s="3887"/>
      <c r="BY341" s="3881"/>
      <c r="BZ341" s="3885"/>
      <c r="CA341" s="3885"/>
      <c r="CB341" s="3886" t="str">
        <f>CC340&amp;"-"&amp;CE340</f>
        <v>46569-46752</v>
      </c>
      <c r="CC341" s="3887"/>
      <c r="CD341" s="3881"/>
      <c r="CE341" s="3887"/>
      <c r="CF341" s="3881"/>
      <c r="CG341" s="3885"/>
      <c r="CH341" s="3885"/>
      <c r="CI341" s="3886" t="str">
        <f>CJ340&amp;"-"&amp;CL340</f>
        <v>46753-46934</v>
      </c>
      <c r="CJ341" s="3887"/>
      <c r="CK341" s="3881"/>
      <c r="CL341" s="3887"/>
      <c r="CM341" s="3881"/>
      <c r="CN341" s="3885"/>
      <c r="CO341" s="3885"/>
      <c r="CP341" s="3886" t="str">
        <f>CQ340&amp;"-"&amp;CS340</f>
        <v>46935-47118</v>
      </c>
      <c r="CQ341" s="3887"/>
      <c r="CR341" s="3881"/>
      <c r="CS341" s="3887"/>
      <c r="CT341" s="3881"/>
      <c r="CU341" s="4203"/>
      <c r="CV341" s="4200"/>
      <c r="CW341" s="4093"/>
      <c r="CX341" s="4196"/>
      <c r="CY341" s="4196" t="str">
        <f>IF(T341="","",T341)</f>
        <v/>
      </c>
      <c r="CZ341" s="4196"/>
      <c r="DA341" s="4196"/>
      <c r="DB341" s="3858">
        <v>0</v>
      </c>
    </row>
    <row s="11070" customFormat="1" customHeight="1" ht="21">
      <c r="A342" s="4183"/>
      <c r="B342" s="4183"/>
      <c r="C342" s="4183"/>
      <c r="D342" s="4183"/>
      <c r="E342" s="4184"/>
      <c r="F342" s="4184"/>
      <c r="G342" s="4184"/>
      <c r="H342" s="4184"/>
      <c r="I342" s="4185"/>
      <c r="J342" s="4186" t="str">
        <f>I334&amp;".1"</f>
        <v>1.16.1.1.1</v>
      </c>
      <c r="K342" s="4183"/>
      <c r="L342" s="4187"/>
      <c r="M342" s="4188"/>
      <c r="N342" s="4188"/>
      <c r="O342" s="4188"/>
      <c r="P342" s="4189"/>
      <c r="Q342" s="4189"/>
      <c r="R342" s="4205"/>
      <c r="S342" s="11071"/>
      <c r="T342" s="11072" t="s">
        <v>615</v>
      </c>
      <c r="U342" s="11073"/>
      <c r="V342" s="11074"/>
      <c r="W342" s="11075"/>
      <c r="X342" s="11076"/>
      <c r="Y342" s="11077"/>
      <c r="Z342" s="11078"/>
      <c r="AA342" s="11079"/>
      <c r="AB342" s="11080"/>
      <c r="AC342" s="11081"/>
      <c r="AD342" s="11082"/>
      <c r="AE342" s="11083"/>
      <c r="AF342" s="11084"/>
      <c r="AG342" s="11085"/>
      <c r="AH342" s="11086"/>
      <c r="AI342" s="11087"/>
      <c r="AJ342" s="11088"/>
      <c r="AK342" s="11089"/>
      <c r="AL342" s="11090"/>
      <c r="AM342" s="11091"/>
      <c r="AN342" s="11092"/>
      <c r="AO342" s="11093"/>
      <c r="AP342" s="11094"/>
      <c r="AQ342" s="11095"/>
      <c r="AR342" s="11096"/>
      <c r="AS342" s="11097"/>
      <c r="AT342" s="11098"/>
      <c r="AU342" s="11099"/>
      <c r="AV342" s="11100"/>
      <c r="AW342" s="11101"/>
      <c r="AX342" s="11102"/>
      <c r="AY342" s="11103"/>
      <c r="AZ342" s="11104"/>
      <c r="BA342" s="11105"/>
      <c r="BB342" s="11106"/>
      <c r="BC342" s="11107"/>
      <c r="BD342" s="11108"/>
      <c r="BE342" s="11109"/>
      <c r="BF342" s="11110"/>
      <c r="BG342" s="11111"/>
      <c r="BH342" s="11112"/>
      <c r="BI342" s="11113"/>
      <c r="BJ342" s="11114"/>
      <c r="BK342" s="11115"/>
      <c r="BL342" s="11116"/>
      <c r="BM342" s="11117"/>
      <c r="BN342" s="11118"/>
      <c r="BO342" s="11119"/>
      <c r="BP342" s="11120"/>
      <c r="BQ342" s="11121"/>
      <c r="BR342" s="11122"/>
      <c r="BS342" s="11123"/>
      <c r="BT342" s="11124"/>
      <c r="BU342" s="11125"/>
      <c r="BV342" s="11126"/>
      <c r="BW342" s="11127"/>
      <c r="BX342" s="11128"/>
      <c r="BY342" s="11129"/>
      <c r="BZ342" s="11130"/>
      <c r="CA342" s="11131"/>
      <c r="CB342" s="11132"/>
      <c r="CC342" s="11133"/>
      <c r="CD342" s="11134"/>
      <c r="CE342" s="11135"/>
      <c r="CF342" s="11136"/>
      <c r="CG342" s="11137"/>
      <c r="CH342" s="11138"/>
      <c r="CI342" s="11139"/>
      <c r="CJ342" s="11140"/>
      <c r="CK342" s="11141"/>
      <c r="CL342" s="11142"/>
      <c r="CM342" s="11143"/>
      <c r="CN342" s="11144"/>
      <c r="CO342" s="11145"/>
      <c r="CP342" s="11146"/>
      <c r="CQ342" s="11147"/>
      <c r="CR342" s="11148"/>
      <c r="CS342" s="11149"/>
      <c r="CT342" s="11150"/>
      <c r="CU342" s="11151"/>
      <c r="CV342" s="4287" t="s">
        <v>616</v>
      </c>
      <c r="CW342" s="4093"/>
      <c r="CX342" s="4196"/>
      <c r="CY342" s="4196" t="str">
        <f>IF(T342="","",T342)</f>
        <v>Добавить значение признака дифференциации</v>
      </c>
      <c r="CZ342" s="4196"/>
      <c r="DA342" s="4196"/>
      <c r="DB342" s="3858">
        <v>0</v>
      </c>
    </row>
    <row s="11152" customFormat="1" customHeight="1" ht="23.25">
      <c r="A343" s="4183"/>
      <c r="B343" s="4183"/>
      <c r="C343" s="4183"/>
      <c r="D343" s="4183"/>
      <c r="E343" s="4184"/>
      <c r="F343" s="4184"/>
      <c r="G343" s="4184"/>
      <c r="H343" s="4184"/>
      <c r="I343" s="4185"/>
      <c r="J343" s="4186" t="str">
        <f>I334&amp;".3"</f>
        <v>1.16.1.1.3</v>
      </c>
      <c r="K343" s="4183"/>
      <c r="L343" s="4187" t="s">
        <v>538</v>
      </c>
      <c r="M343" s="4188"/>
      <c r="N343" s="4188"/>
      <c r="O343" s="4188"/>
      <c r="P343" s="4189"/>
      <c r="Q343" s="4190" t="s">
        <v>109</v>
      </c>
      <c r="R343" s="4191"/>
      <c r="S343" s="4192" t="str">
        <f>$J343</f>
        <v>1.16.1.1.3</v>
      </c>
      <c r="T343" s="4193" t="s">
        <v>539</v>
      </c>
      <c r="U343" s="4194"/>
      <c r="V343" s="3874"/>
      <c r="W343" s="3875"/>
      <c r="X343" s="3875"/>
      <c r="Y343" s="3875"/>
      <c r="Z343" s="3875"/>
      <c r="AA343" s="3875"/>
      <c r="AB343" s="3876"/>
      <c r="AC343" s="3874" t="s">
        <v>627</v>
      </c>
      <c r="AD343" s="3875"/>
      <c r="AE343" s="3875"/>
      <c r="AF343" s="3875"/>
      <c r="AG343" s="3875"/>
      <c r="AH343" s="3875"/>
      <c r="AI343" s="3875"/>
      <c r="AJ343" s="3874"/>
      <c r="AK343" s="3875"/>
      <c r="AL343" s="3875"/>
      <c r="AM343" s="3875"/>
      <c r="AN343" s="3875"/>
      <c r="AO343" s="3875"/>
      <c r="AP343" s="3876"/>
      <c r="AQ343" s="3874"/>
      <c r="AR343" s="3875"/>
      <c r="AS343" s="3875"/>
      <c r="AT343" s="3875"/>
      <c r="AU343" s="3875"/>
      <c r="AV343" s="3875"/>
      <c r="AW343" s="3876"/>
      <c r="AX343" s="3874"/>
      <c r="AY343" s="3875"/>
      <c r="AZ343" s="3875"/>
      <c r="BA343" s="3875"/>
      <c r="BB343" s="3875"/>
      <c r="BC343" s="3875"/>
      <c r="BD343" s="3876"/>
      <c r="BE343" s="3874"/>
      <c r="BF343" s="3875"/>
      <c r="BG343" s="3875"/>
      <c r="BH343" s="3875"/>
      <c r="BI343" s="3875"/>
      <c r="BJ343" s="3875"/>
      <c r="BK343" s="3876"/>
      <c r="BL343" s="3874"/>
      <c r="BM343" s="3875"/>
      <c r="BN343" s="3875"/>
      <c r="BO343" s="3875"/>
      <c r="BP343" s="3875"/>
      <c r="BQ343" s="3875"/>
      <c r="BR343" s="3876"/>
      <c r="BS343" s="3874"/>
      <c r="BT343" s="3875"/>
      <c r="BU343" s="3875"/>
      <c r="BV343" s="3875"/>
      <c r="BW343" s="3875"/>
      <c r="BX343" s="3875"/>
      <c r="BY343" s="3876"/>
      <c r="BZ343" s="3874"/>
      <c r="CA343" s="3875"/>
      <c r="CB343" s="3875"/>
      <c r="CC343" s="3875"/>
      <c r="CD343" s="3875"/>
      <c r="CE343" s="3875"/>
      <c r="CF343" s="3876"/>
      <c r="CG343" s="3874"/>
      <c r="CH343" s="3875"/>
      <c r="CI343" s="3875"/>
      <c r="CJ343" s="3875"/>
      <c r="CK343" s="3875"/>
      <c r="CL343" s="3875"/>
      <c r="CM343" s="3876"/>
      <c r="CN343" s="3874"/>
      <c r="CO343" s="3875"/>
      <c r="CP343" s="3875"/>
      <c r="CQ343" s="3875"/>
      <c r="CR343" s="3875"/>
      <c r="CS343" s="3875"/>
      <c r="CT343" s="3876"/>
      <c r="CU343" s="3876"/>
      <c r="CV343" s="4195" t="s">
        <v>614</v>
      </c>
      <c r="CW343" s="4093"/>
      <c r="CX343" s="4196"/>
      <c r="CY343" s="4196" t="str">
        <f>IF(T343="","",T343)</f>
        <v>Группа потребителей</v>
      </c>
      <c r="CZ343" s="4196"/>
      <c r="DA343" s="4196"/>
      <c r="DB343" s="3858">
        <v>0</v>
      </c>
    </row>
    <row s="11153" customFormat="1" customHeight="1" ht="23.25">
      <c r="A344" s="4183"/>
      <c r="B344" s="4183"/>
      <c r="C344" s="4183"/>
      <c r="D344" s="4183"/>
      <c r="E344" s="4184"/>
      <c r="F344" s="4184"/>
      <c r="G344" s="4184"/>
      <c r="H344" s="4184"/>
      <c r="I344" s="4185"/>
      <c r="J344" s="4185" t="str">
        <f>I334&amp;".2"</f>
        <v>1.16.1.1.2</v>
      </c>
      <c r="K344" s="4186" t="str">
        <f>J343&amp;".1"</f>
        <v>1.16.1.1.3.1</v>
      </c>
      <c r="L344" s="4187"/>
      <c r="M344" s="4188"/>
      <c r="N344" s="4188"/>
      <c r="O344" s="4188"/>
      <c r="P344" s="4189"/>
      <c r="Q344" s="4189"/>
      <c r="R344" s="4191">
        <v>1</v>
      </c>
      <c r="S344" s="4192" t="str">
        <f>$K344</f>
        <v>1.16.1.1.3.1</v>
      </c>
      <c r="T344" s="4198"/>
      <c r="U344" s="4194"/>
      <c r="V344" s="3878"/>
      <c r="W344" s="3878"/>
      <c r="X344" s="3879"/>
      <c r="Y344" s="3880"/>
      <c r="Z344" s="3881" t="s">
        <v>65</v>
      </c>
      <c r="AA344" s="3880"/>
      <c r="AB344" s="3881" t="s">
        <v>65</v>
      </c>
      <c r="AC344" s="3878">
        <v>51.99</v>
      </c>
      <c r="AD344" s="3878"/>
      <c r="AE344" s="3879"/>
      <c r="AF344" s="3880">
        <v>45292</v>
      </c>
      <c r="AG344" s="3881" t="s">
        <v>65</v>
      </c>
      <c r="AH344" s="4116">
        <v>45473</v>
      </c>
      <c r="AI344" s="3881" t="s">
        <v>65</v>
      </c>
      <c r="AJ344" s="3878">
        <v>54.69</v>
      </c>
      <c r="AK344" s="3878"/>
      <c r="AL344" s="3879"/>
      <c r="AM344" s="3880">
        <v>45474</v>
      </c>
      <c r="AN344" s="3881" t="s">
        <v>65</v>
      </c>
      <c r="AO344" s="3880">
        <v>45657</v>
      </c>
      <c r="AP344" s="3881" t="s">
        <v>65</v>
      </c>
      <c r="AQ344" s="3878">
        <v>54.69</v>
      </c>
      <c r="AR344" s="3878"/>
      <c r="AS344" s="3879"/>
      <c r="AT344" s="3880">
        <v>45658</v>
      </c>
      <c r="AU344" s="3881" t="s">
        <v>65</v>
      </c>
      <c r="AV344" s="3880">
        <v>45838</v>
      </c>
      <c r="AW344" s="3881" t="s">
        <v>65</v>
      </c>
      <c r="AX344" s="3878">
        <v>57.43</v>
      </c>
      <c r="AY344" s="3878"/>
      <c r="AZ344" s="3879"/>
      <c r="BA344" s="3880">
        <v>45839</v>
      </c>
      <c r="BB344" s="3881" t="s">
        <v>65</v>
      </c>
      <c r="BC344" s="3880">
        <v>46022</v>
      </c>
      <c r="BD344" s="3881" t="s">
        <v>65</v>
      </c>
      <c r="BE344" s="3878">
        <v>62.55</v>
      </c>
      <c r="BF344" s="3878"/>
      <c r="BG344" s="3879"/>
      <c r="BH344" s="3880">
        <v>46023</v>
      </c>
      <c r="BI344" s="3881" t="s">
        <v>65</v>
      </c>
      <c r="BJ344" s="3880">
        <v>46203</v>
      </c>
      <c r="BK344" s="3881" t="s">
        <v>65</v>
      </c>
      <c r="BL344" s="3878">
        <v>68.84</v>
      </c>
      <c r="BM344" s="3878"/>
      <c r="BN344" s="3879"/>
      <c r="BO344" s="3880">
        <v>46204</v>
      </c>
      <c r="BP344" s="3881" t="s">
        <v>65</v>
      </c>
      <c r="BQ344" s="3880">
        <v>46387</v>
      </c>
      <c r="BR344" s="3881" t="s">
        <v>65</v>
      </c>
      <c r="BS344" s="3878">
        <v>68.84</v>
      </c>
      <c r="BT344" s="3878"/>
      <c r="BU344" s="3879"/>
      <c r="BV344" s="3880">
        <v>46388</v>
      </c>
      <c r="BW344" s="3881" t="s">
        <v>65</v>
      </c>
      <c r="BX344" s="3880">
        <v>46568</v>
      </c>
      <c r="BY344" s="3881" t="s">
        <v>65</v>
      </c>
      <c r="BZ344" s="3878">
        <v>74.46</v>
      </c>
      <c r="CA344" s="3878"/>
      <c r="CB344" s="3879"/>
      <c r="CC344" s="3880">
        <v>46569</v>
      </c>
      <c r="CD344" s="3881" t="s">
        <v>65</v>
      </c>
      <c r="CE344" s="3880">
        <v>46752</v>
      </c>
      <c r="CF344" s="3881" t="s">
        <v>65</v>
      </c>
      <c r="CG344" s="3878">
        <v>74.46</v>
      </c>
      <c r="CH344" s="3878"/>
      <c r="CI344" s="3879"/>
      <c r="CJ344" s="3880">
        <v>46753</v>
      </c>
      <c r="CK344" s="3881" t="s">
        <v>65</v>
      </c>
      <c r="CL344" s="3880">
        <v>46934</v>
      </c>
      <c r="CM344" s="3881" t="s">
        <v>65</v>
      </c>
      <c r="CN344" s="3878">
        <v>81.66</v>
      </c>
      <c r="CO344" s="3878"/>
      <c r="CP344" s="3879"/>
      <c r="CQ344" s="3880">
        <v>46935</v>
      </c>
      <c r="CR344" s="3881" t="s">
        <v>65</v>
      </c>
      <c r="CS344" s="3880">
        <v>47118</v>
      </c>
      <c r="CT344" s="3881" t="s">
        <v>65</v>
      </c>
      <c r="CU344" s="4199"/>
      <c r="CV34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44" s="4093">
        <f>STRCHECKDATE(V345:CU345)</f>
      </c>
      <c r="CX344" s="4196"/>
      <c r="CY344" s="4196" t="str">
        <f>IF(T344="","",T344)</f>
        <v/>
      </c>
      <c r="CZ344" s="4196"/>
      <c r="DA344" s="4196"/>
      <c r="DB344" s="3858">
        <v>0</v>
      </c>
    </row>
    <row s="11154" customFormat="1" customHeight="1" ht="14.25">
      <c r="A345" s="4183"/>
      <c r="B345" s="4183"/>
      <c r="C345" s="4183"/>
      <c r="D345" s="4183"/>
      <c r="E345" s="4184"/>
      <c r="F345" s="4184"/>
      <c r="G345" s="4184"/>
      <c r="H345" s="4184"/>
      <c r="I345" s="4185"/>
      <c r="J345" s="4185" t="str">
        <f>I334&amp;".2"</f>
        <v>1.16.1.1.2</v>
      </c>
      <c r="K345" s="4186"/>
      <c r="L345" s="4187"/>
      <c r="M345" s="4188"/>
      <c r="N345" s="4188"/>
      <c r="O345" s="4188"/>
      <c r="P345" s="4189"/>
      <c r="Q345" s="4189"/>
      <c r="R345" s="4191"/>
      <c r="S345" s="4202"/>
      <c r="T345" s="4194"/>
      <c r="U345" s="4194"/>
      <c r="V345" s="3885"/>
      <c r="W345" s="3885"/>
      <c r="X345" s="3886" t="str">
        <f>Y344&amp;"-"&amp;AA344</f>
        <v>-</v>
      </c>
      <c r="Y345" s="3887"/>
      <c r="Z345" s="3881"/>
      <c r="AA345" s="3887"/>
      <c r="AB345" s="3881"/>
      <c r="AC345" s="3885"/>
      <c r="AD345" s="3885"/>
      <c r="AE345" s="3886" t="str">
        <f>AF344&amp;"-"&amp;AH344</f>
        <v>45292-45473</v>
      </c>
      <c r="AF345" s="3887"/>
      <c r="AG345" s="3881"/>
      <c r="AH345" s="4118"/>
      <c r="AI345" s="3881"/>
      <c r="AJ345" s="3885"/>
      <c r="AK345" s="3885"/>
      <c r="AL345" s="3886" t="str">
        <f>AM344&amp;"-"&amp;AO344</f>
        <v>45474-45657</v>
      </c>
      <c r="AM345" s="3887"/>
      <c r="AN345" s="3881"/>
      <c r="AO345" s="3887"/>
      <c r="AP345" s="3881"/>
      <c r="AQ345" s="3885"/>
      <c r="AR345" s="3885"/>
      <c r="AS345" s="3886" t="str">
        <f>AT344&amp;"-"&amp;AV344</f>
        <v>45658-45838</v>
      </c>
      <c r="AT345" s="3887"/>
      <c r="AU345" s="3881"/>
      <c r="AV345" s="3887"/>
      <c r="AW345" s="3881"/>
      <c r="AX345" s="3885"/>
      <c r="AY345" s="3885"/>
      <c r="AZ345" s="3886" t="str">
        <f>BA344&amp;"-"&amp;BC344</f>
        <v>45839-46022</v>
      </c>
      <c r="BA345" s="3887"/>
      <c r="BB345" s="3881"/>
      <c r="BC345" s="3887"/>
      <c r="BD345" s="3881"/>
      <c r="BE345" s="3885"/>
      <c r="BF345" s="3885"/>
      <c r="BG345" s="3886" t="str">
        <f>BH344&amp;"-"&amp;BJ344</f>
        <v>46023-46203</v>
      </c>
      <c r="BH345" s="3887"/>
      <c r="BI345" s="3881"/>
      <c r="BJ345" s="3887"/>
      <c r="BK345" s="3881"/>
      <c r="BL345" s="3885"/>
      <c r="BM345" s="3885"/>
      <c r="BN345" s="3886" t="str">
        <f>BO344&amp;"-"&amp;BQ344</f>
        <v>46204-46387</v>
      </c>
      <c r="BO345" s="3887"/>
      <c r="BP345" s="3881"/>
      <c r="BQ345" s="3887"/>
      <c r="BR345" s="3881"/>
      <c r="BS345" s="3885"/>
      <c r="BT345" s="3885"/>
      <c r="BU345" s="3886" t="str">
        <f>BV344&amp;"-"&amp;BX344</f>
        <v>46388-46568</v>
      </c>
      <c r="BV345" s="3887"/>
      <c r="BW345" s="3881"/>
      <c r="BX345" s="3887"/>
      <c r="BY345" s="3881"/>
      <c r="BZ345" s="3885"/>
      <c r="CA345" s="3885"/>
      <c r="CB345" s="3886" t="str">
        <f>CC344&amp;"-"&amp;CE344</f>
        <v>46569-46752</v>
      </c>
      <c r="CC345" s="3887"/>
      <c r="CD345" s="3881"/>
      <c r="CE345" s="3887"/>
      <c r="CF345" s="3881"/>
      <c r="CG345" s="3885"/>
      <c r="CH345" s="3885"/>
      <c r="CI345" s="3886" t="str">
        <f>CJ344&amp;"-"&amp;CL344</f>
        <v>46753-46934</v>
      </c>
      <c r="CJ345" s="3887"/>
      <c r="CK345" s="3881"/>
      <c r="CL345" s="3887"/>
      <c r="CM345" s="3881"/>
      <c r="CN345" s="3885"/>
      <c r="CO345" s="3885"/>
      <c r="CP345" s="3886" t="str">
        <f>CQ344&amp;"-"&amp;CS344</f>
        <v>46935-47118</v>
      </c>
      <c r="CQ345" s="3887"/>
      <c r="CR345" s="3881"/>
      <c r="CS345" s="3887"/>
      <c r="CT345" s="3881"/>
      <c r="CU345" s="4203"/>
      <c r="CV345" s="4200"/>
      <c r="CW345" s="4093"/>
      <c r="CX345" s="4196"/>
      <c r="CY345" s="4196" t="str">
        <f>IF(T345="","",T345)</f>
        <v/>
      </c>
      <c r="CZ345" s="4196"/>
      <c r="DA345" s="4196"/>
      <c r="DB345" s="3858">
        <v>0</v>
      </c>
    </row>
    <row s="11155" customFormat="1" customHeight="1" ht="21">
      <c r="A346" s="4183"/>
      <c r="B346" s="4183"/>
      <c r="C346" s="4183"/>
      <c r="D346" s="4183"/>
      <c r="E346" s="4184"/>
      <c r="F346" s="4184"/>
      <c r="G346" s="4184"/>
      <c r="H346" s="4184"/>
      <c r="I346" s="4185"/>
      <c r="J346" s="4186" t="str">
        <f>I334&amp;".2"</f>
        <v>1.16.1.1.2</v>
      </c>
      <c r="K346" s="4183"/>
      <c r="L346" s="4187"/>
      <c r="M346" s="4188"/>
      <c r="N346" s="4188"/>
      <c r="O346" s="4188"/>
      <c r="P346" s="4189"/>
      <c r="Q346" s="4189"/>
      <c r="R346" s="4205"/>
      <c r="S346" s="11156"/>
      <c r="T346" s="11157" t="s">
        <v>615</v>
      </c>
      <c r="U346" s="11158"/>
      <c r="V346" s="11159"/>
      <c r="W346" s="11160"/>
      <c r="X346" s="11161"/>
      <c r="Y346" s="11162"/>
      <c r="Z346" s="11163"/>
      <c r="AA346" s="11164"/>
      <c r="AB346" s="11165"/>
      <c r="AC346" s="11166"/>
      <c r="AD346" s="11167"/>
      <c r="AE346" s="11168"/>
      <c r="AF346" s="11169"/>
      <c r="AG346" s="11170"/>
      <c r="AH346" s="11171"/>
      <c r="AI346" s="11172"/>
      <c r="AJ346" s="11173"/>
      <c r="AK346" s="11174"/>
      <c r="AL346" s="11175"/>
      <c r="AM346" s="11176"/>
      <c r="AN346" s="11177"/>
      <c r="AO346" s="11178"/>
      <c r="AP346" s="11179"/>
      <c r="AQ346" s="11180"/>
      <c r="AR346" s="11181"/>
      <c r="AS346" s="11182"/>
      <c r="AT346" s="11183"/>
      <c r="AU346" s="11184"/>
      <c r="AV346" s="11185"/>
      <c r="AW346" s="11186"/>
      <c r="AX346" s="11187"/>
      <c r="AY346" s="11188"/>
      <c r="AZ346" s="11189"/>
      <c r="BA346" s="11190"/>
      <c r="BB346" s="11191"/>
      <c r="BC346" s="11192"/>
      <c r="BD346" s="11193"/>
      <c r="BE346" s="11194"/>
      <c r="BF346" s="11195"/>
      <c r="BG346" s="11196"/>
      <c r="BH346" s="11197"/>
      <c r="BI346" s="11198"/>
      <c r="BJ346" s="11199"/>
      <c r="BK346" s="11200"/>
      <c r="BL346" s="11201"/>
      <c r="BM346" s="11202"/>
      <c r="BN346" s="11203"/>
      <c r="BO346" s="11204"/>
      <c r="BP346" s="11205"/>
      <c r="BQ346" s="11206"/>
      <c r="BR346" s="11207"/>
      <c r="BS346" s="11208"/>
      <c r="BT346" s="11209"/>
      <c r="BU346" s="11210"/>
      <c r="BV346" s="11211"/>
      <c r="BW346" s="11212"/>
      <c r="BX346" s="11213"/>
      <c r="BY346" s="11214"/>
      <c r="BZ346" s="11215"/>
      <c r="CA346" s="11216"/>
      <c r="CB346" s="11217"/>
      <c r="CC346" s="11218"/>
      <c r="CD346" s="11219"/>
      <c r="CE346" s="11220"/>
      <c r="CF346" s="11221"/>
      <c r="CG346" s="11222"/>
      <c r="CH346" s="11223"/>
      <c r="CI346" s="11224"/>
      <c r="CJ346" s="11225"/>
      <c r="CK346" s="11226"/>
      <c r="CL346" s="11227"/>
      <c r="CM346" s="11228"/>
      <c r="CN346" s="11229"/>
      <c r="CO346" s="11230"/>
      <c r="CP346" s="11231"/>
      <c r="CQ346" s="11232"/>
      <c r="CR346" s="11233"/>
      <c r="CS346" s="11234"/>
      <c r="CT346" s="11235"/>
      <c r="CU346" s="11236"/>
      <c r="CV346" s="4287" t="s">
        <v>616</v>
      </c>
      <c r="CW346" s="4093"/>
      <c r="CX346" s="4196"/>
      <c r="CY346" s="4196" t="str">
        <f>IF(T346="","",T346)</f>
        <v>Добавить значение признака дифференциации</v>
      </c>
      <c r="CZ346" s="4196"/>
      <c r="DA346" s="4196"/>
      <c r="DB346" s="3858">
        <v>0</v>
      </c>
    </row>
    <row s="11237" customFormat="1" customHeight="1" ht="21">
      <c r="A347" s="4183"/>
      <c r="B347" s="4183"/>
      <c r="C347" s="4183"/>
      <c r="D347" s="4183"/>
      <c r="E347" s="4184"/>
      <c r="F347" s="4184" t="s">
        <v>170</v>
      </c>
      <c r="G347" s="4184"/>
      <c r="H347" s="4184"/>
      <c r="I347" s="4186"/>
      <c r="J347" s="4183"/>
      <c r="K347" s="4183"/>
      <c r="L347" s="4187"/>
      <c r="M347" s="4188"/>
      <c r="N347" s="4188"/>
      <c r="O347" s="4188"/>
      <c r="P347" s="4189"/>
      <c r="Q347" s="4189"/>
      <c r="R347" s="4205"/>
      <c r="S347" s="11238"/>
      <c r="T347" s="11239" t="s">
        <v>544</v>
      </c>
      <c r="U347" s="11240"/>
      <c r="V347" s="11241"/>
      <c r="W347" s="11242"/>
      <c r="X347" s="11243"/>
      <c r="Y347" s="11244"/>
      <c r="Z347" s="11245"/>
      <c r="AA347" s="11246"/>
      <c r="AB347" s="11247"/>
      <c r="AC347" s="11248"/>
      <c r="AD347" s="11249"/>
      <c r="AE347" s="11250"/>
      <c r="AF347" s="11251"/>
      <c r="AG347" s="11252"/>
      <c r="AH347" s="11253"/>
      <c r="AI347" s="11254"/>
      <c r="AJ347" s="11255"/>
      <c r="AK347" s="11256"/>
      <c r="AL347" s="11257"/>
      <c r="AM347" s="11258"/>
      <c r="AN347" s="11259"/>
      <c r="AO347" s="11260"/>
      <c r="AP347" s="11261"/>
      <c r="AQ347" s="11262"/>
      <c r="AR347" s="11263"/>
      <c r="AS347" s="11264"/>
      <c r="AT347" s="11265"/>
      <c r="AU347" s="11266"/>
      <c r="AV347" s="11267"/>
      <c r="AW347" s="11268"/>
      <c r="AX347" s="11269"/>
      <c r="AY347" s="11270"/>
      <c r="AZ347" s="11271"/>
      <c r="BA347" s="11272"/>
      <c r="BB347" s="11273"/>
      <c r="BC347" s="11274"/>
      <c r="BD347" s="11275"/>
      <c r="BE347" s="11276"/>
      <c r="BF347" s="11277"/>
      <c r="BG347" s="11278"/>
      <c r="BH347" s="11279"/>
      <c r="BI347" s="11280"/>
      <c r="BJ347" s="11281"/>
      <c r="BK347" s="11282"/>
      <c r="BL347" s="11283"/>
      <c r="BM347" s="11284"/>
      <c r="BN347" s="11285"/>
      <c r="BO347" s="11286"/>
      <c r="BP347" s="11287"/>
      <c r="BQ347" s="11288"/>
      <c r="BR347" s="11289"/>
      <c r="BS347" s="11290"/>
      <c r="BT347" s="11291"/>
      <c r="BU347" s="11292"/>
      <c r="BV347" s="11293"/>
      <c r="BW347" s="11294"/>
      <c r="BX347" s="11295"/>
      <c r="BY347" s="11296"/>
      <c r="BZ347" s="11297"/>
      <c r="CA347" s="11298"/>
      <c r="CB347" s="11299"/>
      <c r="CC347" s="11300"/>
      <c r="CD347" s="11301"/>
      <c r="CE347" s="11302"/>
      <c r="CF347" s="11303"/>
      <c r="CG347" s="11304"/>
      <c r="CH347" s="11305"/>
      <c r="CI347" s="11306"/>
      <c r="CJ347" s="11307"/>
      <c r="CK347" s="11308"/>
      <c r="CL347" s="11309"/>
      <c r="CM347" s="11310"/>
      <c r="CN347" s="11311"/>
      <c r="CO347" s="11312"/>
      <c r="CP347" s="11313"/>
      <c r="CQ347" s="11314"/>
      <c r="CR347" s="11315"/>
      <c r="CS347" s="11316"/>
      <c r="CT347" s="11317"/>
      <c r="CU347" s="11318"/>
      <c r="CV347" s="11319"/>
      <c r="CW347" s="4093"/>
      <c r="CX347" s="4196"/>
      <c r="CY347" s="4196" t="str">
        <f>IF(T347="","",T347)</f>
        <v>Добавить группу потребителей</v>
      </c>
      <c r="CZ347" s="4196"/>
      <c r="DA347" s="4196"/>
      <c r="DB347" s="3858">
        <v>0</v>
      </c>
    </row>
    <row s="11320" customFormat="1" customHeight="1" ht="14.25">
      <c r="A348" s="4183"/>
      <c r="B348" s="4183"/>
      <c r="C348" s="4183"/>
      <c r="D348" s="4183"/>
      <c r="E348" s="4184"/>
      <c r="F348" s="4184" t="s">
        <v>170</v>
      </c>
      <c r="G348" s="4184"/>
      <c r="H348" s="4500"/>
      <c r="I348" s="4183"/>
      <c r="J348" s="4183"/>
      <c r="K348" s="4183"/>
      <c r="L348" s="4187"/>
      <c r="M348" s="4501"/>
      <c r="N348" s="4501"/>
      <c r="O348" s="4083"/>
      <c r="P348" s="4853"/>
      <c r="Q348" s="4854"/>
      <c r="R348" s="4855"/>
      <c r="S348" s="11321"/>
      <c r="T348" s="11322" t="s">
        <v>617</v>
      </c>
      <c r="U348" s="11323"/>
      <c r="V348" s="11324"/>
      <c r="W348" s="11325"/>
      <c r="X348" s="11326"/>
      <c r="Y348" s="11327"/>
      <c r="Z348" s="11328"/>
      <c r="AA348" s="11329"/>
      <c r="AB348" s="11330"/>
      <c r="AC348" s="11331"/>
      <c r="AD348" s="11332"/>
      <c r="AE348" s="11333"/>
      <c r="AF348" s="11334"/>
      <c r="AG348" s="11335"/>
      <c r="AH348" s="11336"/>
      <c r="AI348" s="11337"/>
      <c r="AJ348" s="11338"/>
      <c r="AK348" s="11339"/>
      <c r="AL348" s="11340"/>
      <c r="AM348" s="11341"/>
      <c r="AN348" s="11342"/>
      <c r="AO348" s="11343"/>
      <c r="AP348" s="11344"/>
      <c r="AQ348" s="11345"/>
      <c r="AR348" s="11346"/>
      <c r="AS348" s="11347"/>
      <c r="AT348" s="11348"/>
      <c r="AU348" s="11349"/>
      <c r="AV348" s="11350"/>
      <c r="AW348" s="11351"/>
      <c r="AX348" s="11352"/>
      <c r="AY348" s="11353"/>
      <c r="AZ348" s="11354"/>
      <c r="BA348" s="11355"/>
      <c r="BB348" s="11356"/>
      <c r="BC348" s="11357"/>
      <c r="BD348" s="11358"/>
      <c r="BE348" s="11359"/>
      <c r="BF348" s="11360"/>
      <c r="BG348" s="11361"/>
      <c r="BH348" s="11362"/>
      <c r="BI348" s="11363"/>
      <c r="BJ348" s="11364"/>
      <c r="BK348" s="11365"/>
      <c r="BL348" s="11366"/>
      <c r="BM348" s="11367"/>
      <c r="BN348" s="11368"/>
      <c r="BO348" s="11369"/>
      <c r="BP348" s="11370"/>
      <c r="BQ348" s="11371"/>
      <c r="BR348" s="11372"/>
      <c r="BS348" s="11373"/>
      <c r="BT348" s="11374"/>
      <c r="BU348" s="11375"/>
      <c r="BV348" s="11376"/>
      <c r="BW348" s="11377"/>
      <c r="BX348" s="11378"/>
      <c r="BY348" s="11379"/>
      <c r="BZ348" s="11380"/>
      <c r="CA348" s="11381"/>
      <c r="CB348" s="11382"/>
      <c r="CC348" s="11383"/>
      <c r="CD348" s="11384"/>
      <c r="CE348" s="11385"/>
      <c r="CF348" s="11386"/>
      <c r="CG348" s="11387"/>
      <c r="CH348" s="11388"/>
      <c r="CI348" s="11389"/>
      <c r="CJ348" s="11390"/>
      <c r="CK348" s="11391"/>
      <c r="CL348" s="11392"/>
      <c r="CM348" s="11393"/>
      <c r="CN348" s="11394"/>
      <c r="CO348" s="11395"/>
      <c r="CP348" s="11396"/>
      <c r="CQ348" s="11397"/>
      <c r="CR348" s="11398"/>
      <c r="CS348" s="11399"/>
      <c r="CT348" s="11400"/>
      <c r="CU348" s="11401"/>
      <c r="CV348" s="11402"/>
      <c r="CW348" s="4093"/>
      <c r="CX348" s="4196"/>
      <c r="CY348" s="4196" t="str">
        <f>IF(T348="","",T348)</f>
        <v>Добавить наименование признака дифференциации</v>
      </c>
      <c r="CZ348" s="4196"/>
      <c r="DA348" s="4196"/>
      <c r="DB348" s="3858">
        <v>0</v>
      </c>
    </row>
    <row s="11403" customFormat="1" customHeight="1" ht="14.25">
      <c r="A349" s="4939"/>
      <c r="B349" s="4939"/>
      <c r="C349" s="4939"/>
      <c r="D349" s="4939"/>
      <c r="E349" s="4184"/>
      <c r="F349" s="4500" t="s">
        <v>170</v>
      </c>
      <c r="G349" s="4939"/>
      <c r="H349" s="4939"/>
      <c r="I349" s="4939"/>
      <c r="J349" s="4939"/>
      <c r="K349" s="4939"/>
      <c r="L349" s="4940"/>
      <c r="M349" s="4941"/>
      <c r="N349" s="4941"/>
      <c r="O349" s="4093"/>
      <c r="P349" s="4942"/>
      <c r="Q349" s="4943"/>
      <c r="R349" s="4942"/>
      <c r="S349" s="4944"/>
      <c r="T349" s="4945" t="s">
        <v>302</v>
      </c>
      <c r="U349" s="4081"/>
      <c r="V349" s="4081"/>
      <c r="W349" s="4081"/>
      <c r="X349" s="4081"/>
      <c r="Y349" s="4081"/>
      <c r="Z349" s="4081"/>
      <c r="AA349" s="4081"/>
      <c r="AB349" s="4081"/>
      <c r="AC349" s="4081"/>
      <c r="AD349" s="4081"/>
      <c r="AE349" s="4081"/>
      <c r="AF349" s="4081"/>
      <c r="AG349" s="4081"/>
      <c r="AH349" s="4081"/>
      <c r="AI349" s="4081"/>
      <c r="AJ349" s="4081"/>
      <c r="AK349" s="4081"/>
      <c r="AL349" s="4081"/>
      <c r="AM349" s="4081"/>
      <c r="AN349" s="4081"/>
      <c r="AO349" s="4081"/>
      <c r="AP349" s="4081"/>
      <c r="AQ349" s="4081"/>
      <c r="AR349" s="4081"/>
      <c r="AS349" s="4081"/>
      <c r="AT349" s="4081"/>
      <c r="AU349" s="4081"/>
      <c r="AV349" s="4081"/>
      <c r="AW349" s="4081"/>
      <c r="AX349" s="4081"/>
      <c r="AY349" s="4081"/>
      <c r="AZ349" s="4081"/>
      <c r="BA349" s="4081"/>
      <c r="BB349" s="4081"/>
      <c r="BC349" s="4081"/>
      <c r="BD349" s="4081"/>
      <c r="BE349" s="4081"/>
      <c r="BF349" s="4081"/>
      <c r="BG349" s="4081"/>
      <c r="BH349" s="4081"/>
      <c r="BI349" s="4081"/>
      <c r="BJ349" s="4081"/>
      <c r="BK349" s="4081"/>
      <c r="BL349" s="4081"/>
      <c r="BM349" s="4081"/>
      <c r="BN349" s="4081"/>
      <c r="BO349" s="4081"/>
      <c r="BP349" s="4081"/>
      <c r="BQ349" s="4081"/>
      <c r="BR349" s="4081"/>
      <c r="BS349" s="4081"/>
      <c r="BT349" s="4081"/>
      <c r="BU349" s="4081"/>
      <c r="BV349" s="4081"/>
      <c r="BW349" s="4081"/>
      <c r="BX349" s="4081"/>
      <c r="BY349" s="4081"/>
      <c r="BZ349" s="4081"/>
      <c r="CA349" s="4081"/>
      <c r="CB349" s="4081"/>
      <c r="CC349" s="4081"/>
      <c r="CD349" s="4081"/>
      <c r="CE349" s="4081"/>
      <c r="CF349" s="4081"/>
      <c r="CG349" s="4081"/>
      <c r="CH349" s="4081"/>
      <c r="CI349" s="4081"/>
      <c r="CJ349" s="4081"/>
      <c r="CK349" s="4081"/>
      <c r="CL349" s="4081"/>
      <c r="CM349" s="4081"/>
      <c r="CN349" s="4081"/>
      <c r="CO349" s="4081"/>
      <c r="CP349" s="4081"/>
      <c r="CQ349" s="4081"/>
      <c r="CR349" s="4081"/>
      <c r="CS349" s="4081"/>
      <c r="CT349" s="4081"/>
      <c r="CU349" s="4081"/>
      <c r="CV349" s="4081"/>
      <c r="CW349" s="4093"/>
      <c r="CX349" s="4196"/>
      <c r="CY349" s="4196" t="str">
        <f>IF(T349="","",T349)</f>
        <v>Добавить централизованную систему для дифференциации</v>
      </c>
      <c r="CZ349" s="4196"/>
      <c r="DA349" s="4196"/>
      <c r="DB349" s="4093">
        <v>0</v>
      </c>
    </row>
    <row s="11404" customFormat="1" customHeight="1" ht="23.25">
      <c r="A350" s="4183"/>
      <c r="B350" s="4183" t="s">
        <v>353</v>
      </c>
      <c r="C350" s="4183"/>
      <c r="D350" s="4183"/>
      <c r="E350" s="4184"/>
      <c r="F350" s="4500" t="s">
        <v>180</v>
      </c>
      <c r="G350" s="4183"/>
      <c r="H350" s="4183"/>
      <c r="I350" s="4183"/>
      <c r="J350" s="4183"/>
      <c r="K350" s="4183"/>
      <c r="L350" s="4187"/>
      <c r="M350" s="4501"/>
      <c r="N350" s="4501"/>
      <c r="O350" s="4501"/>
      <c r="P350" s="4502"/>
      <c r="Q350" s="4503"/>
      <c r="R350" s="4504"/>
      <c r="S350" s="4192" t="str">
        <f>INDEX(PT_DIFFERENTIATION_NUM_TER,MATCH(B350,PT_DIFFERENTIATION_TER_ID,0))</f>
        <v>1.17</v>
      </c>
      <c r="T350" s="4505" t="s">
        <v>529</v>
      </c>
      <c r="U350" s="4194"/>
      <c r="V350" s="3860"/>
      <c r="W350" s="3861"/>
      <c r="X350" s="3861"/>
      <c r="Y350" s="3861"/>
      <c r="Z350" s="3861"/>
      <c r="AA350" s="3861"/>
      <c r="AB350" s="3862"/>
      <c r="AC350" s="3860" t="str">
        <f>INDEX(PT_DIFFERENTIATION_TER,MATCH(B350,PT_DIFFERENTIATION_TER_ID,0))</f>
        <v>Территория 17</v>
      </c>
      <c r="AD350" s="3861"/>
      <c r="AE350" s="3861"/>
      <c r="AF350" s="3861"/>
      <c r="AG350" s="3861"/>
      <c r="AH350" s="3861"/>
      <c r="AI350" s="3861"/>
      <c r="AJ350" s="3860"/>
      <c r="AK350" s="3861"/>
      <c r="AL350" s="3861"/>
      <c r="AM350" s="3861"/>
      <c r="AN350" s="3861"/>
      <c r="AO350" s="3861"/>
      <c r="AP350" s="3862"/>
      <c r="AQ350" s="3860"/>
      <c r="AR350" s="3861"/>
      <c r="AS350" s="3861"/>
      <c r="AT350" s="3861"/>
      <c r="AU350" s="3861"/>
      <c r="AV350" s="3861"/>
      <c r="AW350" s="3862"/>
      <c r="AX350" s="3860"/>
      <c r="AY350" s="3861"/>
      <c r="AZ350" s="3861"/>
      <c r="BA350" s="3861"/>
      <c r="BB350" s="3861"/>
      <c r="BC350" s="3861"/>
      <c r="BD350" s="3862"/>
      <c r="BE350" s="3860"/>
      <c r="BF350" s="3861"/>
      <c r="BG350" s="3861"/>
      <c r="BH350" s="3861"/>
      <c r="BI350" s="3861"/>
      <c r="BJ350" s="3861"/>
      <c r="BK350" s="3862"/>
      <c r="BL350" s="3860"/>
      <c r="BM350" s="3861"/>
      <c r="BN350" s="3861"/>
      <c r="BO350" s="3861"/>
      <c r="BP350" s="3861"/>
      <c r="BQ350" s="3861"/>
      <c r="BR350" s="3862"/>
      <c r="BS350" s="3860"/>
      <c r="BT350" s="3861"/>
      <c r="BU350" s="3861"/>
      <c r="BV350" s="3861"/>
      <c r="BW350" s="3861"/>
      <c r="BX350" s="3861"/>
      <c r="BY350" s="3862"/>
      <c r="BZ350" s="3860"/>
      <c r="CA350" s="3861"/>
      <c r="CB350" s="3861"/>
      <c r="CC350" s="3861"/>
      <c r="CD350" s="3861"/>
      <c r="CE350" s="3861"/>
      <c r="CF350" s="3862"/>
      <c r="CG350" s="3860"/>
      <c r="CH350" s="3861"/>
      <c r="CI350" s="3861"/>
      <c r="CJ350" s="3861"/>
      <c r="CK350" s="3861"/>
      <c r="CL350" s="3861"/>
      <c r="CM350" s="3862"/>
      <c r="CN350" s="3860"/>
      <c r="CO350" s="3861"/>
      <c r="CP350" s="3861"/>
      <c r="CQ350" s="3861"/>
      <c r="CR350" s="3861"/>
      <c r="CS350" s="3861"/>
      <c r="CT350" s="3862"/>
      <c r="CU350" s="3862"/>
      <c r="CV350" s="4287" t="s">
        <v>530</v>
      </c>
      <c r="CW350" s="4093"/>
      <c r="CX350" s="4196"/>
      <c r="CY350" s="4196" t="str">
        <f>IF(T350="","",T350)</f>
        <v>Территория действия тарифа</v>
      </c>
      <c r="CZ350" s="4196"/>
      <c r="DA350" s="4196"/>
      <c r="DB350" s="3858">
        <v>0</v>
      </c>
    </row>
    <row s="11405" customFormat="1" customHeight="1" ht="23.25">
      <c r="A351" s="4183"/>
      <c r="B351" s="4183"/>
      <c r="C351" s="4183" t="s">
        <v>354</v>
      </c>
      <c r="D351" s="4183"/>
      <c r="E351" s="4184"/>
      <c r="F351" s="4184" t="s">
        <v>175</v>
      </c>
      <c r="G351" s="4500">
        <v>1</v>
      </c>
      <c r="H351" s="4183"/>
      <c r="I351" s="4183"/>
      <c r="J351" s="4183"/>
      <c r="K351" s="4183"/>
      <c r="L351" s="4187"/>
      <c r="M351" s="4501"/>
      <c r="N351" s="4501"/>
      <c r="O351" s="4501"/>
      <c r="P351" s="4507"/>
      <c r="Q351" s="4503"/>
      <c r="R351" s="4504"/>
      <c r="S351" s="4192" t="str">
        <f>INDEX(PT_DIFFERENTIATION_NUM_CS,MATCH(C351,PT_DIFFERENTIATION_CS_ID,0))</f>
        <v>1.17.1</v>
      </c>
      <c r="T351" s="4508" t="s">
        <v>610</v>
      </c>
      <c r="U351" s="4194"/>
      <c r="V351" s="3860"/>
      <c r="W351" s="3861"/>
      <c r="X351" s="3861"/>
      <c r="Y351" s="3861"/>
      <c r="Z351" s="3861"/>
      <c r="AA351" s="3861"/>
      <c r="AB351" s="3862"/>
      <c r="AC351" s="3860" t="str">
        <f>INDEX(PT_DIFFERENTIATION_CS,MATCH(C351,PT_DIFFERENTIATION_CS_ID,0))</f>
        <v>п. Искра</v>
      </c>
      <c r="AD351" s="3861"/>
      <c r="AE351" s="3861"/>
      <c r="AF351" s="3861"/>
      <c r="AG351" s="3861"/>
      <c r="AH351" s="3861"/>
      <c r="AI351" s="3861"/>
      <c r="AJ351" s="3860"/>
      <c r="AK351" s="3861"/>
      <c r="AL351" s="3861"/>
      <c r="AM351" s="3861"/>
      <c r="AN351" s="3861"/>
      <c r="AO351" s="3861"/>
      <c r="AP351" s="3862"/>
      <c r="AQ351" s="3860"/>
      <c r="AR351" s="3861"/>
      <c r="AS351" s="3861"/>
      <c r="AT351" s="3861"/>
      <c r="AU351" s="3861"/>
      <c r="AV351" s="3861"/>
      <c r="AW351" s="3862"/>
      <c r="AX351" s="3860"/>
      <c r="AY351" s="3861"/>
      <c r="AZ351" s="3861"/>
      <c r="BA351" s="3861"/>
      <c r="BB351" s="3861"/>
      <c r="BC351" s="3861"/>
      <c r="BD351" s="3862"/>
      <c r="BE351" s="3860"/>
      <c r="BF351" s="3861"/>
      <c r="BG351" s="3861"/>
      <c r="BH351" s="3861"/>
      <c r="BI351" s="3861"/>
      <c r="BJ351" s="3861"/>
      <c r="BK351" s="3862"/>
      <c r="BL351" s="3860"/>
      <c r="BM351" s="3861"/>
      <c r="BN351" s="3861"/>
      <c r="BO351" s="3861"/>
      <c r="BP351" s="3861"/>
      <c r="BQ351" s="3861"/>
      <c r="BR351" s="3862"/>
      <c r="BS351" s="3860"/>
      <c r="BT351" s="3861"/>
      <c r="BU351" s="3861"/>
      <c r="BV351" s="3861"/>
      <c r="BW351" s="3861"/>
      <c r="BX351" s="3861"/>
      <c r="BY351" s="3862"/>
      <c r="BZ351" s="3860"/>
      <c r="CA351" s="3861"/>
      <c r="CB351" s="3861"/>
      <c r="CC351" s="3861"/>
      <c r="CD351" s="3861"/>
      <c r="CE351" s="3861"/>
      <c r="CF351" s="3862"/>
      <c r="CG351" s="3860"/>
      <c r="CH351" s="3861"/>
      <c r="CI351" s="3861"/>
      <c r="CJ351" s="3861"/>
      <c r="CK351" s="3861"/>
      <c r="CL351" s="3861"/>
      <c r="CM351" s="3862"/>
      <c r="CN351" s="3860"/>
      <c r="CO351" s="3861"/>
      <c r="CP351" s="3861"/>
      <c r="CQ351" s="3861"/>
      <c r="CR351" s="3861"/>
      <c r="CS351" s="3861"/>
      <c r="CT351" s="3862"/>
      <c r="CU351" s="3862"/>
      <c r="CV351" s="4287" t="s">
        <v>611</v>
      </c>
      <c r="CW351" s="4093"/>
      <c r="CX351" s="4196"/>
      <c r="CY351" s="4196" t="str">
        <f>IF(T351="","",T351)</f>
        <v>Наименование централизованной системы холодного водоснабжения</v>
      </c>
      <c r="CZ351" s="4196"/>
      <c r="DA351" s="4196"/>
      <c r="DB351" s="3858">
        <v>0</v>
      </c>
    </row>
    <row s="11406" customFormat="1" customHeight="1" ht="23.25">
      <c r="A352" s="4183"/>
      <c r="B352" s="4183"/>
      <c r="C352" s="4183"/>
      <c r="D352" s="4183"/>
      <c r="E352" s="4184"/>
      <c r="F352" s="4184" t="s">
        <v>175</v>
      </c>
      <c r="G352" s="4184"/>
      <c r="H352" s="4184"/>
      <c r="I352" s="4186" t="str">
        <f>S351&amp;".1"</f>
        <v>1.17.1.1</v>
      </c>
      <c r="J352" s="4183"/>
      <c r="K352" s="4183"/>
      <c r="L352" s="4187"/>
      <c r="M352" s="4188"/>
      <c r="N352" s="4188"/>
      <c r="O352" s="4188"/>
      <c r="P352" s="4189">
        <v>1</v>
      </c>
      <c r="Q352" s="4189"/>
      <c r="R352" s="4205"/>
      <c r="S352" s="4192" t="str">
        <f>$I352</f>
        <v>1.17.1.1</v>
      </c>
      <c r="T352" s="4510" t="s">
        <v>612</v>
      </c>
      <c r="U352" s="4194"/>
      <c r="V352" s="3870"/>
      <c r="W352" s="3871"/>
      <c r="X352" s="3871"/>
      <c r="Y352" s="3871"/>
      <c r="Z352" s="3871"/>
      <c r="AA352" s="3871"/>
      <c r="AB352" s="3872"/>
      <c r="AC352" s="4511"/>
      <c r="AD352" s="4512"/>
      <c r="AE352" s="4512"/>
      <c r="AF352" s="4512"/>
      <c r="AG352" s="4512"/>
      <c r="AH352" s="4512"/>
      <c r="AI352" s="4512"/>
      <c r="AJ352" s="3870"/>
      <c r="AK352" s="3871"/>
      <c r="AL352" s="3871"/>
      <c r="AM352" s="3871"/>
      <c r="AN352" s="3871"/>
      <c r="AO352" s="3871"/>
      <c r="AP352" s="3872"/>
      <c r="AQ352" s="3870"/>
      <c r="AR352" s="3871"/>
      <c r="AS352" s="3871"/>
      <c r="AT352" s="3871"/>
      <c r="AU352" s="3871"/>
      <c r="AV352" s="3871"/>
      <c r="AW352" s="3872"/>
      <c r="AX352" s="3870"/>
      <c r="AY352" s="3871"/>
      <c r="AZ352" s="3871"/>
      <c r="BA352" s="3871"/>
      <c r="BB352" s="3871"/>
      <c r="BC352" s="3871"/>
      <c r="BD352" s="3872"/>
      <c r="BE352" s="3870"/>
      <c r="BF352" s="3871"/>
      <c r="BG352" s="3871"/>
      <c r="BH352" s="3871"/>
      <c r="BI352" s="3871"/>
      <c r="BJ352" s="3871"/>
      <c r="BK352" s="3872"/>
      <c r="BL352" s="3870"/>
      <c r="BM352" s="3871"/>
      <c r="BN352" s="3871"/>
      <c r="BO352" s="3871"/>
      <c r="BP352" s="3871"/>
      <c r="BQ352" s="3871"/>
      <c r="BR352" s="3872"/>
      <c r="BS352" s="3870"/>
      <c r="BT352" s="3871"/>
      <c r="BU352" s="3871"/>
      <c r="BV352" s="3871"/>
      <c r="BW352" s="3871"/>
      <c r="BX352" s="3871"/>
      <c r="BY352" s="3872"/>
      <c r="BZ352" s="3870"/>
      <c r="CA352" s="3871"/>
      <c r="CB352" s="3871"/>
      <c r="CC352" s="3871"/>
      <c r="CD352" s="3871"/>
      <c r="CE352" s="3871"/>
      <c r="CF352" s="3872"/>
      <c r="CG352" s="3870"/>
      <c r="CH352" s="3871"/>
      <c r="CI352" s="3871"/>
      <c r="CJ352" s="3871"/>
      <c r="CK352" s="3871"/>
      <c r="CL352" s="3871"/>
      <c r="CM352" s="3872"/>
      <c r="CN352" s="3870"/>
      <c r="CO352" s="3871"/>
      <c r="CP352" s="3871"/>
      <c r="CQ352" s="3871"/>
      <c r="CR352" s="3871"/>
      <c r="CS352" s="3871"/>
      <c r="CT352" s="3872"/>
      <c r="CU352" s="4513"/>
      <c r="CV352" s="4287" t="s">
        <v>613</v>
      </c>
      <c r="CW352" s="4093"/>
      <c r="CX352" s="4196"/>
      <c r="CY352" s="4196" t="str">
        <f>IF(T352="","",T352)</f>
        <v>Наименование признака дифференциации</v>
      </c>
      <c r="CZ352" s="4196"/>
      <c r="DA352" s="4196"/>
      <c r="DB352" s="3858">
        <v>0</v>
      </c>
    </row>
    <row s="11407" customFormat="1" customHeight="1" ht="23.25">
      <c r="A353" s="4183"/>
      <c r="B353" s="4183"/>
      <c r="C353" s="4183"/>
      <c r="D353" s="4183"/>
      <c r="E353" s="4184"/>
      <c r="F353" s="4184" t="s">
        <v>175</v>
      </c>
      <c r="G353" s="4184"/>
      <c r="H353" s="4184"/>
      <c r="I353" s="4185"/>
      <c r="J353" s="4186" t="str">
        <f>I352&amp;".1"</f>
        <v>1.17.1.1.1</v>
      </c>
      <c r="K353" s="4183"/>
      <c r="L353" s="4187" t="s">
        <v>538</v>
      </c>
      <c r="M353" s="4188"/>
      <c r="N353" s="4188"/>
      <c r="O353" s="4188"/>
      <c r="P353" s="4189"/>
      <c r="Q353" s="4189">
        <v>1</v>
      </c>
      <c r="R353" s="4191"/>
      <c r="S353" s="4192" t="str">
        <f>$J353</f>
        <v>1.17.1.1.1</v>
      </c>
      <c r="T353" s="4193" t="s">
        <v>539</v>
      </c>
      <c r="U353" s="4194"/>
      <c r="V353" s="3874"/>
      <c r="W353" s="3875"/>
      <c r="X353" s="3875"/>
      <c r="Y353" s="3875"/>
      <c r="Z353" s="3875"/>
      <c r="AA353" s="3875"/>
      <c r="AB353" s="3876"/>
      <c r="AC353" s="3874" t="s">
        <v>625</v>
      </c>
      <c r="AD353" s="3875"/>
      <c r="AE353" s="3875"/>
      <c r="AF353" s="3875"/>
      <c r="AG353" s="3875"/>
      <c r="AH353" s="3875"/>
      <c r="AI353" s="3875"/>
      <c r="AJ353" s="3874"/>
      <c r="AK353" s="3875"/>
      <c r="AL353" s="3875"/>
      <c r="AM353" s="3875"/>
      <c r="AN353" s="3875"/>
      <c r="AO353" s="3875"/>
      <c r="AP353" s="3876"/>
      <c r="AQ353" s="3874"/>
      <c r="AR353" s="3875"/>
      <c r="AS353" s="3875"/>
      <c r="AT353" s="3875"/>
      <c r="AU353" s="3875"/>
      <c r="AV353" s="3875"/>
      <c r="AW353" s="3876"/>
      <c r="AX353" s="3874"/>
      <c r="AY353" s="3875"/>
      <c r="AZ353" s="3875"/>
      <c r="BA353" s="3875"/>
      <c r="BB353" s="3875"/>
      <c r="BC353" s="3875"/>
      <c r="BD353" s="3876"/>
      <c r="BE353" s="3874"/>
      <c r="BF353" s="3875"/>
      <c r="BG353" s="3875"/>
      <c r="BH353" s="3875"/>
      <c r="BI353" s="3875"/>
      <c r="BJ353" s="3875"/>
      <c r="BK353" s="3876"/>
      <c r="BL353" s="3874"/>
      <c r="BM353" s="3875"/>
      <c r="BN353" s="3875"/>
      <c r="BO353" s="3875"/>
      <c r="BP353" s="3875"/>
      <c r="BQ353" s="3875"/>
      <c r="BR353" s="3876"/>
      <c r="BS353" s="3874"/>
      <c r="BT353" s="3875"/>
      <c r="BU353" s="3875"/>
      <c r="BV353" s="3875"/>
      <c r="BW353" s="3875"/>
      <c r="BX353" s="3875"/>
      <c r="BY353" s="3876"/>
      <c r="BZ353" s="3874"/>
      <c r="CA353" s="3875"/>
      <c r="CB353" s="3875"/>
      <c r="CC353" s="3875"/>
      <c r="CD353" s="3875"/>
      <c r="CE353" s="3875"/>
      <c r="CF353" s="3876"/>
      <c r="CG353" s="3874"/>
      <c r="CH353" s="3875"/>
      <c r="CI353" s="3875"/>
      <c r="CJ353" s="3875"/>
      <c r="CK353" s="3875"/>
      <c r="CL353" s="3875"/>
      <c r="CM353" s="3876"/>
      <c r="CN353" s="3874"/>
      <c r="CO353" s="3875"/>
      <c r="CP353" s="3875"/>
      <c r="CQ353" s="3875"/>
      <c r="CR353" s="3875"/>
      <c r="CS353" s="3875"/>
      <c r="CT353" s="3876"/>
      <c r="CU353" s="3876"/>
      <c r="CV353" s="4195" t="s">
        <v>614</v>
      </c>
      <c r="CW353" s="4093"/>
      <c r="CX353" s="4196"/>
      <c r="CY353" s="4196" t="str">
        <f>IF(T353="","",T353)</f>
        <v>Группа потребителей</v>
      </c>
      <c r="CZ353" s="4196"/>
      <c r="DA353" s="4196"/>
      <c r="DB353" s="3858">
        <v>0</v>
      </c>
    </row>
    <row s="11408" customFormat="1" customHeight="1" ht="23.25">
      <c r="A354" s="4183"/>
      <c r="B354" s="4183"/>
      <c r="C354" s="4183"/>
      <c r="D354" s="4183"/>
      <c r="E354" s="4184"/>
      <c r="F354" s="4184" t="s">
        <v>175</v>
      </c>
      <c r="G354" s="4184"/>
      <c r="H354" s="4184"/>
      <c r="I354" s="4185"/>
      <c r="J354" s="4185"/>
      <c r="K354" s="4186" t="str">
        <f>J353&amp;".1"</f>
        <v>1.17.1.1.1.1</v>
      </c>
      <c r="L354" s="4187"/>
      <c r="M354" s="4188"/>
      <c r="N354" s="4188"/>
      <c r="O354" s="4188"/>
      <c r="P354" s="4189"/>
      <c r="Q354" s="4189"/>
      <c r="R354" s="4191">
        <v>1</v>
      </c>
      <c r="S354" s="4192" t="str">
        <f>$K354</f>
        <v>1.17.1.1.1.1</v>
      </c>
      <c r="T354" s="4198"/>
      <c r="U354" s="4194"/>
      <c r="V354" s="3878"/>
      <c r="W354" s="3878"/>
      <c r="X354" s="3879"/>
      <c r="Y354" s="3880"/>
      <c r="Z354" s="3881" t="s">
        <v>65</v>
      </c>
      <c r="AA354" s="3880"/>
      <c r="AB354" s="3881" t="s">
        <v>65</v>
      </c>
      <c r="AC354" s="3878">
        <v>24.88</v>
      </c>
      <c r="AD354" s="3878"/>
      <c r="AE354" s="3879"/>
      <c r="AF354" s="3880">
        <v>45292</v>
      </c>
      <c r="AG354" s="3881" t="s">
        <v>65</v>
      </c>
      <c r="AH354" s="4116">
        <v>45473</v>
      </c>
      <c r="AI354" s="3881" t="s">
        <v>65</v>
      </c>
      <c r="AJ354" s="3878">
        <v>28.46</v>
      </c>
      <c r="AK354" s="3878"/>
      <c r="AL354" s="3879"/>
      <c r="AM354" s="3880">
        <v>45474</v>
      </c>
      <c r="AN354" s="3881" t="s">
        <v>65</v>
      </c>
      <c r="AO354" s="3880">
        <v>45657</v>
      </c>
      <c r="AP354" s="3881" t="s">
        <v>65</v>
      </c>
      <c r="AQ354" s="3878">
        <v>28.46</v>
      </c>
      <c r="AR354" s="3878"/>
      <c r="AS354" s="3879"/>
      <c r="AT354" s="3880">
        <v>45658</v>
      </c>
      <c r="AU354" s="3881" t="s">
        <v>65</v>
      </c>
      <c r="AV354" s="3880">
        <v>45838</v>
      </c>
      <c r="AW354" s="3881" t="s">
        <v>65</v>
      </c>
      <c r="AX354" s="3878">
        <v>32.44</v>
      </c>
      <c r="AY354" s="3878"/>
      <c r="AZ354" s="3879"/>
      <c r="BA354" s="3880">
        <v>45839</v>
      </c>
      <c r="BB354" s="3881" t="s">
        <v>65</v>
      </c>
      <c r="BC354" s="3880">
        <v>46022</v>
      </c>
      <c r="BD354" s="3881" t="s">
        <v>65</v>
      </c>
      <c r="BE354" s="3878">
        <v>30.08</v>
      </c>
      <c r="BF354" s="3878"/>
      <c r="BG354" s="3879"/>
      <c r="BH354" s="3880">
        <v>46023</v>
      </c>
      <c r="BI354" s="3881" t="s">
        <v>65</v>
      </c>
      <c r="BJ354" s="3880">
        <v>46203</v>
      </c>
      <c r="BK354" s="3881" t="s">
        <v>65</v>
      </c>
      <c r="BL354" s="3878">
        <v>31.28</v>
      </c>
      <c r="BM354" s="3878"/>
      <c r="BN354" s="3879"/>
      <c r="BO354" s="3880">
        <v>46204</v>
      </c>
      <c r="BP354" s="3881" t="s">
        <v>65</v>
      </c>
      <c r="BQ354" s="3880">
        <v>46387</v>
      </c>
      <c r="BR354" s="3881" t="s">
        <v>65</v>
      </c>
      <c r="BS354" s="3878">
        <v>31.28</v>
      </c>
      <c r="BT354" s="3878"/>
      <c r="BU354" s="3879"/>
      <c r="BV354" s="3880">
        <v>46388</v>
      </c>
      <c r="BW354" s="3881" t="s">
        <v>65</v>
      </c>
      <c r="BX354" s="3880">
        <v>46568</v>
      </c>
      <c r="BY354" s="3881" t="s">
        <v>65</v>
      </c>
      <c r="BZ354" s="3878">
        <v>32.53</v>
      </c>
      <c r="CA354" s="3878"/>
      <c r="CB354" s="3879"/>
      <c r="CC354" s="3880">
        <v>46569</v>
      </c>
      <c r="CD354" s="3881" t="s">
        <v>65</v>
      </c>
      <c r="CE354" s="3880">
        <v>46752</v>
      </c>
      <c r="CF354" s="3881" t="s">
        <v>65</v>
      </c>
      <c r="CG354" s="3878">
        <v>32.53</v>
      </c>
      <c r="CH354" s="3878"/>
      <c r="CI354" s="3879"/>
      <c r="CJ354" s="3880">
        <v>46753</v>
      </c>
      <c r="CK354" s="3881" t="s">
        <v>65</v>
      </c>
      <c r="CL354" s="3880">
        <v>46934</v>
      </c>
      <c r="CM354" s="3881" t="s">
        <v>65</v>
      </c>
      <c r="CN354" s="3878">
        <v>33.83</v>
      </c>
      <c r="CO354" s="3878"/>
      <c r="CP354" s="3879"/>
      <c r="CQ354" s="3880">
        <v>46935</v>
      </c>
      <c r="CR354" s="3881" t="s">
        <v>65</v>
      </c>
      <c r="CS354" s="3880">
        <v>47118</v>
      </c>
      <c r="CT354" s="3881" t="s">
        <v>65</v>
      </c>
      <c r="CU354" s="4199"/>
      <c r="CV35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54" s="4093">
        <f>STRCHECKDATE(V355:CU355)</f>
      </c>
      <c r="CX354" s="4196"/>
      <c r="CY354" s="4196" t="str">
        <f>IF(T354="","",T354)</f>
        <v/>
      </c>
      <c r="CZ354" s="4196"/>
      <c r="DA354" s="4196"/>
      <c r="DB354" s="3858">
        <v>0</v>
      </c>
    </row>
    <row s="11409" customFormat="1" customHeight="1" ht="14.25">
      <c r="A355" s="4183"/>
      <c r="B355" s="4183"/>
      <c r="C355" s="4183"/>
      <c r="D355" s="4183"/>
      <c r="E355" s="4184"/>
      <c r="F355" s="4184" t="s">
        <v>175</v>
      </c>
      <c r="G355" s="4184"/>
      <c r="H355" s="4184"/>
      <c r="I355" s="4185"/>
      <c r="J355" s="4185"/>
      <c r="K355" s="4186"/>
      <c r="L355" s="4187"/>
      <c r="M355" s="4188"/>
      <c r="N355" s="4188"/>
      <c r="O355" s="4188"/>
      <c r="P355" s="4189"/>
      <c r="Q355" s="4189"/>
      <c r="R355" s="4191"/>
      <c r="S355" s="4202"/>
      <c r="T355" s="4194"/>
      <c r="U355" s="4194"/>
      <c r="V355" s="3885"/>
      <c r="W355" s="3885"/>
      <c r="X355" s="3886" t="str">
        <f>Y354&amp;"-"&amp;AA354</f>
        <v>-</v>
      </c>
      <c r="Y355" s="3887"/>
      <c r="Z355" s="3881"/>
      <c r="AA355" s="3887"/>
      <c r="AB355" s="3881"/>
      <c r="AC355" s="3885"/>
      <c r="AD355" s="3885"/>
      <c r="AE355" s="3886" t="str">
        <f>AF354&amp;"-"&amp;AH354</f>
        <v>45292-45473</v>
      </c>
      <c r="AF355" s="3887"/>
      <c r="AG355" s="3881"/>
      <c r="AH355" s="4118"/>
      <c r="AI355" s="3881"/>
      <c r="AJ355" s="3885"/>
      <c r="AK355" s="3885"/>
      <c r="AL355" s="3886" t="str">
        <f>AM354&amp;"-"&amp;AO354</f>
        <v>45474-45657</v>
      </c>
      <c r="AM355" s="3887"/>
      <c r="AN355" s="3881"/>
      <c r="AO355" s="3887"/>
      <c r="AP355" s="3881"/>
      <c r="AQ355" s="3885"/>
      <c r="AR355" s="3885"/>
      <c r="AS355" s="3886" t="str">
        <f>AT354&amp;"-"&amp;AV354</f>
        <v>45658-45838</v>
      </c>
      <c r="AT355" s="3887"/>
      <c r="AU355" s="3881"/>
      <c r="AV355" s="3887"/>
      <c r="AW355" s="3881"/>
      <c r="AX355" s="3885"/>
      <c r="AY355" s="3885"/>
      <c r="AZ355" s="3886" t="str">
        <f>BA354&amp;"-"&amp;BC354</f>
        <v>45839-46022</v>
      </c>
      <c r="BA355" s="3887"/>
      <c r="BB355" s="3881"/>
      <c r="BC355" s="3887"/>
      <c r="BD355" s="3881"/>
      <c r="BE355" s="3885"/>
      <c r="BF355" s="3885"/>
      <c r="BG355" s="3886" t="str">
        <f>BH354&amp;"-"&amp;BJ354</f>
        <v>46023-46203</v>
      </c>
      <c r="BH355" s="3887"/>
      <c r="BI355" s="3881"/>
      <c r="BJ355" s="3887"/>
      <c r="BK355" s="3881"/>
      <c r="BL355" s="3885"/>
      <c r="BM355" s="3885"/>
      <c r="BN355" s="3886" t="str">
        <f>BO354&amp;"-"&amp;BQ354</f>
        <v>46204-46387</v>
      </c>
      <c r="BO355" s="3887"/>
      <c r="BP355" s="3881"/>
      <c r="BQ355" s="3887"/>
      <c r="BR355" s="3881"/>
      <c r="BS355" s="3885"/>
      <c r="BT355" s="3885"/>
      <c r="BU355" s="3886" t="str">
        <f>BV354&amp;"-"&amp;BX354</f>
        <v>46388-46568</v>
      </c>
      <c r="BV355" s="3887"/>
      <c r="BW355" s="3881"/>
      <c r="BX355" s="3887"/>
      <c r="BY355" s="3881"/>
      <c r="BZ355" s="3885"/>
      <c r="CA355" s="3885"/>
      <c r="CB355" s="3886" t="str">
        <f>CC354&amp;"-"&amp;CE354</f>
        <v>46569-46752</v>
      </c>
      <c r="CC355" s="3887"/>
      <c r="CD355" s="3881"/>
      <c r="CE355" s="3887"/>
      <c r="CF355" s="3881"/>
      <c r="CG355" s="3885"/>
      <c r="CH355" s="3885"/>
      <c r="CI355" s="3886" t="str">
        <f>CJ354&amp;"-"&amp;CL354</f>
        <v>46753-46934</v>
      </c>
      <c r="CJ355" s="3887"/>
      <c r="CK355" s="3881"/>
      <c r="CL355" s="3887"/>
      <c r="CM355" s="3881"/>
      <c r="CN355" s="3885"/>
      <c r="CO355" s="3885"/>
      <c r="CP355" s="3886" t="str">
        <f>CQ354&amp;"-"&amp;CS354</f>
        <v>46935-47118</v>
      </c>
      <c r="CQ355" s="3887"/>
      <c r="CR355" s="3881"/>
      <c r="CS355" s="3887"/>
      <c r="CT355" s="3881"/>
      <c r="CU355" s="4203"/>
      <c r="CV355" s="4200"/>
      <c r="CW355" s="4093"/>
      <c r="CX355" s="4196"/>
      <c r="CY355" s="4196" t="str">
        <f>IF(T355="","",T355)</f>
        <v/>
      </c>
      <c r="CZ355" s="4196"/>
      <c r="DA355" s="4196"/>
      <c r="DB355" s="3858">
        <v>0</v>
      </c>
    </row>
    <row s="11410" customFormat="1" customHeight="1" ht="21">
      <c r="A356" s="4183"/>
      <c r="B356" s="4183"/>
      <c r="C356" s="4183"/>
      <c r="D356" s="4183"/>
      <c r="E356" s="4184"/>
      <c r="F356" s="4184" t="s">
        <v>175</v>
      </c>
      <c r="G356" s="4184"/>
      <c r="H356" s="4184"/>
      <c r="I356" s="4185"/>
      <c r="J356" s="4186"/>
      <c r="K356" s="4183"/>
      <c r="L356" s="4187"/>
      <c r="M356" s="4188"/>
      <c r="N356" s="4188"/>
      <c r="O356" s="4188"/>
      <c r="P356" s="4189"/>
      <c r="Q356" s="4189"/>
      <c r="R356" s="4205"/>
      <c r="S356" s="11411"/>
      <c r="T356" s="11412" t="s">
        <v>615</v>
      </c>
      <c r="U356" s="11413"/>
      <c r="V356" s="11414"/>
      <c r="W356" s="11415"/>
      <c r="X356" s="11416"/>
      <c r="Y356" s="11417"/>
      <c r="Z356" s="11418"/>
      <c r="AA356" s="11419"/>
      <c r="AB356" s="11420"/>
      <c r="AC356" s="11421"/>
      <c r="AD356" s="11422"/>
      <c r="AE356" s="11423"/>
      <c r="AF356" s="11424"/>
      <c r="AG356" s="11425"/>
      <c r="AH356" s="11426"/>
      <c r="AI356" s="11427"/>
      <c r="AJ356" s="11428"/>
      <c r="AK356" s="11429"/>
      <c r="AL356" s="11430"/>
      <c r="AM356" s="11431"/>
      <c r="AN356" s="11432"/>
      <c r="AO356" s="11433"/>
      <c r="AP356" s="11434"/>
      <c r="AQ356" s="11435"/>
      <c r="AR356" s="11436"/>
      <c r="AS356" s="11437"/>
      <c r="AT356" s="11438"/>
      <c r="AU356" s="11439"/>
      <c r="AV356" s="11440"/>
      <c r="AW356" s="11441"/>
      <c r="AX356" s="11442"/>
      <c r="AY356" s="11443"/>
      <c r="AZ356" s="11444"/>
      <c r="BA356" s="11445"/>
      <c r="BB356" s="11446"/>
      <c r="BC356" s="11447"/>
      <c r="BD356" s="11448"/>
      <c r="BE356" s="11449"/>
      <c r="BF356" s="11450"/>
      <c r="BG356" s="11451"/>
      <c r="BH356" s="11452"/>
      <c r="BI356" s="11453"/>
      <c r="BJ356" s="11454"/>
      <c r="BK356" s="11455"/>
      <c r="BL356" s="11456"/>
      <c r="BM356" s="11457"/>
      <c r="BN356" s="11458"/>
      <c r="BO356" s="11459"/>
      <c r="BP356" s="11460"/>
      <c r="BQ356" s="11461"/>
      <c r="BR356" s="11462"/>
      <c r="BS356" s="11463"/>
      <c r="BT356" s="11464"/>
      <c r="BU356" s="11465"/>
      <c r="BV356" s="11466"/>
      <c r="BW356" s="11467"/>
      <c r="BX356" s="11468"/>
      <c r="BY356" s="11469"/>
      <c r="BZ356" s="11470"/>
      <c r="CA356" s="11471"/>
      <c r="CB356" s="11472"/>
      <c r="CC356" s="11473"/>
      <c r="CD356" s="11474"/>
      <c r="CE356" s="11475"/>
      <c r="CF356" s="11476"/>
      <c r="CG356" s="11477"/>
      <c r="CH356" s="11478"/>
      <c r="CI356" s="11479"/>
      <c r="CJ356" s="11480"/>
      <c r="CK356" s="11481"/>
      <c r="CL356" s="11482"/>
      <c r="CM356" s="11483"/>
      <c r="CN356" s="11484"/>
      <c r="CO356" s="11485"/>
      <c r="CP356" s="11486"/>
      <c r="CQ356" s="11487"/>
      <c r="CR356" s="11488"/>
      <c r="CS356" s="11489"/>
      <c r="CT356" s="11490"/>
      <c r="CU356" s="11491"/>
      <c r="CV356" s="4287" t="s">
        <v>616</v>
      </c>
      <c r="CW356" s="4093"/>
      <c r="CX356" s="4196"/>
      <c r="CY356" s="4196" t="str">
        <f>IF(T356="","",T356)</f>
        <v>Добавить значение признака дифференциации</v>
      </c>
      <c r="CZ356" s="4196"/>
      <c r="DA356" s="4196"/>
      <c r="DB356" s="3858">
        <v>0</v>
      </c>
    </row>
    <row s="11492" customFormat="1" customHeight="1" ht="23.25">
      <c r="A357" s="4183"/>
      <c r="B357" s="4183"/>
      <c r="C357" s="4183"/>
      <c r="D357" s="4183"/>
      <c r="E357" s="4184"/>
      <c r="F357" s="4184"/>
      <c r="G357" s="4184"/>
      <c r="H357" s="4184"/>
      <c r="I357" s="4185"/>
      <c r="J357" s="4186" t="str">
        <f>I352&amp;".2"</f>
        <v>1.17.1.1.2</v>
      </c>
      <c r="K357" s="4183"/>
      <c r="L357" s="4187" t="s">
        <v>538</v>
      </c>
      <c r="M357" s="4188"/>
      <c r="N357" s="4188"/>
      <c r="O357" s="4188"/>
      <c r="P357" s="4189"/>
      <c r="Q357" s="4190" t="s">
        <v>109</v>
      </c>
      <c r="R357" s="4191"/>
      <c r="S357" s="4192" t="str">
        <f>$J357</f>
        <v>1.17.1.1.2</v>
      </c>
      <c r="T357" s="4193" t="s">
        <v>539</v>
      </c>
      <c r="U357" s="4194"/>
      <c r="V357" s="3874"/>
      <c r="W357" s="3875"/>
      <c r="X357" s="3875"/>
      <c r="Y357" s="3875"/>
      <c r="Z357" s="3875"/>
      <c r="AA357" s="3875"/>
      <c r="AB357" s="3876"/>
      <c r="AC357" s="3874" t="s">
        <v>626</v>
      </c>
      <c r="AD357" s="3875"/>
      <c r="AE357" s="3875"/>
      <c r="AF357" s="3875"/>
      <c r="AG357" s="3875"/>
      <c r="AH357" s="3875"/>
      <c r="AI357" s="3875"/>
      <c r="AJ357" s="3874"/>
      <c r="AK357" s="3875"/>
      <c r="AL357" s="3875"/>
      <c r="AM357" s="3875"/>
      <c r="AN357" s="3875"/>
      <c r="AO357" s="3875"/>
      <c r="AP357" s="3876"/>
      <c r="AQ357" s="3874"/>
      <c r="AR357" s="3875"/>
      <c r="AS357" s="3875"/>
      <c r="AT357" s="3875"/>
      <c r="AU357" s="3875"/>
      <c r="AV357" s="3875"/>
      <c r="AW357" s="3876"/>
      <c r="AX357" s="3874"/>
      <c r="AY357" s="3875"/>
      <c r="AZ357" s="3875"/>
      <c r="BA357" s="3875"/>
      <c r="BB357" s="3875"/>
      <c r="BC357" s="3875"/>
      <c r="BD357" s="3876"/>
      <c r="BE357" s="3874"/>
      <c r="BF357" s="3875"/>
      <c r="BG357" s="3875"/>
      <c r="BH357" s="3875"/>
      <c r="BI357" s="3875"/>
      <c r="BJ357" s="3875"/>
      <c r="BK357" s="3876"/>
      <c r="BL357" s="3874"/>
      <c r="BM357" s="3875"/>
      <c r="BN357" s="3875"/>
      <c r="BO357" s="3875"/>
      <c r="BP357" s="3875"/>
      <c r="BQ357" s="3875"/>
      <c r="BR357" s="3876"/>
      <c r="BS357" s="3874"/>
      <c r="BT357" s="3875"/>
      <c r="BU357" s="3875"/>
      <c r="BV357" s="3875"/>
      <c r="BW357" s="3875"/>
      <c r="BX357" s="3875"/>
      <c r="BY357" s="3876"/>
      <c r="BZ357" s="3874"/>
      <c r="CA357" s="3875"/>
      <c r="CB357" s="3875"/>
      <c r="CC357" s="3875"/>
      <c r="CD357" s="3875"/>
      <c r="CE357" s="3875"/>
      <c r="CF357" s="3876"/>
      <c r="CG357" s="3874"/>
      <c r="CH357" s="3875"/>
      <c r="CI357" s="3875"/>
      <c r="CJ357" s="3875"/>
      <c r="CK357" s="3875"/>
      <c r="CL357" s="3875"/>
      <c r="CM357" s="3876"/>
      <c r="CN357" s="3874"/>
      <c r="CO357" s="3875"/>
      <c r="CP357" s="3875"/>
      <c r="CQ357" s="3875"/>
      <c r="CR357" s="3875"/>
      <c r="CS357" s="3875"/>
      <c r="CT357" s="3876"/>
      <c r="CU357" s="3876"/>
      <c r="CV357" s="4195" t="s">
        <v>614</v>
      </c>
      <c r="CW357" s="4093"/>
      <c r="CX357" s="4196"/>
      <c r="CY357" s="4196" t="str">
        <f>IF(T357="","",T357)</f>
        <v>Группа потребителей</v>
      </c>
      <c r="CZ357" s="4196"/>
      <c r="DA357" s="4196"/>
      <c r="DB357" s="3858">
        <v>0</v>
      </c>
    </row>
    <row s="11493" customFormat="1" customHeight="1" ht="23.25">
      <c r="A358" s="4183"/>
      <c r="B358" s="4183"/>
      <c r="C358" s="4183"/>
      <c r="D358" s="4183"/>
      <c r="E358" s="4184"/>
      <c r="F358" s="4184"/>
      <c r="G358" s="4184"/>
      <c r="H358" s="4184"/>
      <c r="I358" s="4185"/>
      <c r="J358" s="4185" t="str">
        <f>I352&amp;".1"</f>
        <v>1.17.1.1.1</v>
      </c>
      <c r="K358" s="4186" t="str">
        <f>J357&amp;".1"</f>
        <v>1.17.1.1.2.1</v>
      </c>
      <c r="L358" s="4187"/>
      <c r="M358" s="4188"/>
      <c r="N358" s="4188"/>
      <c r="O358" s="4188"/>
      <c r="P358" s="4189"/>
      <c r="Q358" s="4189"/>
      <c r="R358" s="4191">
        <v>1</v>
      </c>
      <c r="S358" s="4192" t="str">
        <f>$K358</f>
        <v>1.17.1.1.2.1</v>
      </c>
      <c r="T358" s="4198"/>
      <c r="U358" s="4194"/>
      <c r="V358" s="3878"/>
      <c r="W358" s="3878"/>
      <c r="X358" s="3879"/>
      <c r="Y358" s="3880"/>
      <c r="Z358" s="3881" t="s">
        <v>65</v>
      </c>
      <c r="AA358" s="3880"/>
      <c r="AB358" s="3881" t="s">
        <v>65</v>
      </c>
      <c r="AC358" s="3878">
        <v>26.94</v>
      </c>
      <c r="AD358" s="3878"/>
      <c r="AE358" s="3879"/>
      <c r="AF358" s="3880">
        <v>45292</v>
      </c>
      <c r="AG358" s="3881" t="s">
        <v>65</v>
      </c>
      <c r="AH358" s="4116">
        <v>45473</v>
      </c>
      <c r="AI358" s="3881" t="s">
        <v>65</v>
      </c>
      <c r="AJ358" s="3878">
        <v>45.28</v>
      </c>
      <c r="AK358" s="3878"/>
      <c r="AL358" s="3879"/>
      <c r="AM358" s="3880">
        <v>45474</v>
      </c>
      <c r="AN358" s="3881" t="s">
        <v>65</v>
      </c>
      <c r="AO358" s="3880">
        <v>45657</v>
      </c>
      <c r="AP358" s="3881" t="s">
        <v>65</v>
      </c>
      <c r="AQ358" s="3878">
        <v>45.28</v>
      </c>
      <c r="AR358" s="3878"/>
      <c r="AS358" s="3879"/>
      <c r="AT358" s="3880">
        <v>45658</v>
      </c>
      <c r="AU358" s="3881" t="s">
        <v>65</v>
      </c>
      <c r="AV358" s="3880">
        <v>45838</v>
      </c>
      <c r="AW358" s="3881" t="s">
        <v>65</v>
      </c>
      <c r="AX358" s="3878">
        <v>47.23</v>
      </c>
      <c r="AY358" s="3878"/>
      <c r="AZ358" s="3879"/>
      <c r="BA358" s="3880">
        <v>45839</v>
      </c>
      <c r="BB358" s="3881" t="s">
        <v>65</v>
      </c>
      <c r="BC358" s="3880">
        <v>46022</v>
      </c>
      <c r="BD358" s="3881" t="s">
        <v>65</v>
      </c>
      <c r="BE358" s="3878">
        <v>39.66</v>
      </c>
      <c r="BF358" s="3878"/>
      <c r="BG358" s="3879"/>
      <c r="BH358" s="3880">
        <v>46023</v>
      </c>
      <c r="BI358" s="3881" t="s">
        <v>65</v>
      </c>
      <c r="BJ358" s="3880">
        <v>46203</v>
      </c>
      <c r="BK358" s="3881" t="s">
        <v>65</v>
      </c>
      <c r="BL358" s="3878">
        <v>46</v>
      </c>
      <c r="BM358" s="3878"/>
      <c r="BN358" s="3879"/>
      <c r="BO358" s="3880">
        <v>46204</v>
      </c>
      <c r="BP358" s="3881" t="s">
        <v>65</v>
      </c>
      <c r="BQ358" s="3880">
        <v>46387</v>
      </c>
      <c r="BR358" s="3881" t="s">
        <v>65</v>
      </c>
      <c r="BS358" s="3878">
        <v>46</v>
      </c>
      <c r="BT358" s="3878"/>
      <c r="BU358" s="3879"/>
      <c r="BV358" s="3880">
        <v>46388</v>
      </c>
      <c r="BW358" s="3881" t="s">
        <v>65</v>
      </c>
      <c r="BX358" s="3880">
        <v>46568</v>
      </c>
      <c r="BY358" s="3881" t="s">
        <v>65</v>
      </c>
      <c r="BZ358" s="3878">
        <v>50.94</v>
      </c>
      <c r="CA358" s="3878"/>
      <c r="CB358" s="3879"/>
      <c r="CC358" s="3880">
        <v>46569</v>
      </c>
      <c r="CD358" s="3881" t="s">
        <v>65</v>
      </c>
      <c r="CE358" s="3880">
        <v>46752</v>
      </c>
      <c r="CF358" s="3881" t="s">
        <v>65</v>
      </c>
      <c r="CG358" s="3878">
        <v>50.94</v>
      </c>
      <c r="CH358" s="3878"/>
      <c r="CI358" s="3879"/>
      <c r="CJ358" s="3880">
        <v>46753</v>
      </c>
      <c r="CK358" s="3881" t="s">
        <v>65</v>
      </c>
      <c r="CL358" s="3880">
        <v>46934</v>
      </c>
      <c r="CM358" s="3881" t="s">
        <v>65</v>
      </c>
      <c r="CN358" s="3878">
        <v>60.03</v>
      </c>
      <c r="CO358" s="3878"/>
      <c r="CP358" s="3879"/>
      <c r="CQ358" s="3880">
        <v>46935</v>
      </c>
      <c r="CR358" s="3881" t="s">
        <v>65</v>
      </c>
      <c r="CS358" s="3880">
        <v>47118</v>
      </c>
      <c r="CT358" s="3881" t="s">
        <v>65</v>
      </c>
      <c r="CU358" s="4199"/>
      <c r="CV35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58" s="4093">
        <f>STRCHECKDATE(V359:CU359)</f>
      </c>
      <c r="CX358" s="4196"/>
      <c r="CY358" s="4196" t="str">
        <f>IF(T358="","",T358)</f>
        <v/>
      </c>
      <c r="CZ358" s="4196"/>
      <c r="DA358" s="4196"/>
      <c r="DB358" s="3858">
        <v>0</v>
      </c>
    </row>
    <row s="11494" customFormat="1" customHeight="1" ht="14.25">
      <c r="A359" s="4183"/>
      <c r="B359" s="4183"/>
      <c r="C359" s="4183"/>
      <c r="D359" s="4183"/>
      <c r="E359" s="4184"/>
      <c r="F359" s="4184"/>
      <c r="G359" s="4184"/>
      <c r="H359" s="4184"/>
      <c r="I359" s="4185"/>
      <c r="J359" s="4185" t="str">
        <f>I352&amp;".1"</f>
        <v>1.17.1.1.1</v>
      </c>
      <c r="K359" s="4186"/>
      <c r="L359" s="4187"/>
      <c r="M359" s="4188"/>
      <c r="N359" s="4188"/>
      <c r="O359" s="4188"/>
      <c r="P359" s="4189"/>
      <c r="Q359" s="4189"/>
      <c r="R359" s="4191"/>
      <c r="S359" s="4202"/>
      <c r="T359" s="4194"/>
      <c r="U359" s="4194"/>
      <c r="V359" s="3885"/>
      <c r="W359" s="3885"/>
      <c r="X359" s="3886" t="str">
        <f>Y358&amp;"-"&amp;AA358</f>
        <v>-</v>
      </c>
      <c r="Y359" s="3887"/>
      <c r="Z359" s="3881"/>
      <c r="AA359" s="3887"/>
      <c r="AB359" s="3881"/>
      <c r="AC359" s="3885"/>
      <c r="AD359" s="3885"/>
      <c r="AE359" s="3886" t="str">
        <f>AF358&amp;"-"&amp;AH358</f>
        <v>45292-45473</v>
      </c>
      <c r="AF359" s="3887"/>
      <c r="AG359" s="3881"/>
      <c r="AH359" s="4118"/>
      <c r="AI359" s="3881"/>
      <c r="AJ359" s="3885"/>
      <c r="AK359" s="3885"/>
      <c r="AL359" s="3886" t="str">
        <f>AM358&amp;"-"&amp;AO358</f>
        <v>45474-45657</v>
      </c>
      <c r="AM359" s="3887"/>
      <c r="AN359" s="3881"/>
      <c r="AO359" s="3887"/>
      <c r="AP359" s="3881"/>
      <c r="AQ359" s="3885"/>
      <c r="AR359" s="3885"/>
      <c r="AS359" s="3886" t="str">
        <f>AT358&amp;"-"&amp;AV358</f>
        <v>45658-45838</v>
      </c>
      <c r="AT359" s="3887"/>
      <c r="AU359" s="3881"/>
      <c r="AV359" s="3887"/>
      <c r="AW359" s="3881"/>
      <c r="AX359" s="3885"/>
      <c r="AY359" s="3885"/>
      <c r="AZ359" s="3886" t="str">
        <f>BA358&amp;"-"&amp;BC358</f>
        <v>45839-46022</v>
      </c>
      <c r="BA359" s="3887"/>
      <c r="BB359" s="3881"/>
      <c r="BC359" s="3887"/>
      <c r="BD359" s="3881"/>
      <c r="BE359" s="3885"/>
      <c r="BF359" s="3885"/>
      <c r="BG359" s="3886" t="str">
        <f>BH358&amp;"-"&amp;BJ358</f>
        <v>46023-46203</v>
      </c>
      <c r="BH359" s="3887"/>
      <c r="BI359" s="3881"/>
      <c r="BJ359" s="3887"/>
      <c r="BK359" s="3881"/>
      <c r="BL359" s="3885"/>
      <c r="BM359" s="3885"/>
      <c r="BN359" s="3886" t="str">
        <f>BO358&amp;"-"&amp;BQ358</f>
        <v>46204-46387</v>
      </c>
      <c r="BO359" s="3887"/>
      <c r="BP359" s="3881"/>
      <c r="BQ359" s="3887"/>
      <c r="BR359" s="3881"/>
      <c r="BS359" s="3885"/>
      <c r="BT359" s="3885"/>
      <c r="BU359" s="3886" t="str">
        <f>BV358&amp;"-"&amp;BX358</f>
        <v>46388-46568</v>
      </c>
      <c r="BV359" s="3887"/>
      <c r="BW359" s="3881"/>
      <c r="BX359" s="3887"/>
      <c r="BY359" s="3881"/>
      <c r="BZ359" s="3885"/>
      <c r="CA359" s="3885"/>
      <c r="CB359" s="3886" t="str">
        <f>CC358&amp;"-"&amp;CE358</f>
        <v>46569-46752</v>
      </c>
      <c r="CC359" s="3887"/>
      <c r="CD359" s="3881"/>
      <c r="CE359" s="3887"/>
      <c r="CF359" s="3881"/>
      <c r="CG359" s="3885"/>
      <c r="CH359" s="3885"/>
      <c r="CI359" s="3886" t="str">
        <f>CJ358&amp;"-"&amp;CL358</f>
        <v>46753-46934</v>
      </c>
      <c r="CJ359" s="3887"/>
      <c r="CK359" s="3881"/>
      <c r="CL359" s="3887"/>
      <c r="CM359" s="3881"/>
      <c r="CN359" s="3885"/>
      <c r="CO359" s="3885"/>
      <c r="CP359" s="3886" t="str">
        <f>CQ358&amp;"-"&amp;CS358</f>
        <v>46935-47118</v>
      </c>
      <c r="CQ359" s="3887"/>
      <c r="CR359" s="3881"/>
      <c r="CS359" s="3887"/>
      <c r="CT359" s="3881"/>
      <c r="CU359" s="4203"/>
      <c r="CV359" s="4200"/>
      <c r="CW359" s="4093"/>
      <c r="CX359" s="4196"/>
      <c r="CY359" s="4196" t="str">
        <f>IF(T359="","",T359)</f>
        <v/>
      </c>
      <c r="CZ359" s="4196"/>
      <c r="DA359" s="4196"/>
      <c r="DB359" s="3858">
        <v>0</v>
      </c>
    </row>
    <row s="11495" customFormat="1" customHeight="1" ht="21">
      <c r="A360" s="4183"/>
      <c r="B360" s="4183"/>
      <c r="C360" s="4183"/>
      <c r="D360" s="4183"/>
      <c r="E360" s="4184"/>
      <c r="F360" s="4184"/>
      <c r="G360" s="4184"/>
      <c r="H360" s="4184"/>
      <c r="I360" s="4185"/>
      <c r="J360" s="4186" t="str">
        <f>I352&amp;".1"</f>
        <v>1.17.1.1.1</v>
      </c>
      <c r="K360" s="4183"/>
      <c r="L360" s="4187"/>
      <c r="M360" s="4188"/>
      <c r="N360" s="4188"/>
      <c r="O360" s="4188"/>
      <c r="P360" s="4189"/>
      <c r="Q360" s="4189"/>
      <c r="R360" s="4205"/>
      <c r="S360" s="11496"/>
      <c r="T360" s="11497" t="s">
        <v>615</v>
      </c>
      <c r="U360" s="11498"/>
      <c r="V360" s="11499"/>
      <c r="W360" s="11500"/>
      <c r="X360" s="11501"/>
      <c r="Y360" s="11502"/>
      <c r="Z360" s="11503"/>
      <c r="AA360" s="11504"/>
      <c r="AB360" s="11505"/>
      <c r="AC360" s="11506"/>
      <c r="AD360" s="11507"/>
      <c r="AE360" s="11508"/>
      <c r="AF360" s="11509"/>
      <c r="AG360" s="11510"/>
      <c r="AH360" s="11511"/>
      <c r="AI360" s="11512"/>
      <c r="AJ360" s="11513"/>
      <c r="AK360" s="11514"/>
      <c r="AL360" s="11515"/>
      <c r="AM360" s="11516"/>
      <c r="AN360" s="11517"/>
      <c r="AO360" s="11518"/>
      <c r="AP360" s="11519"/>
      <c r="AQ360" s="11520"/>
      <c r="AR360" s="11521"/>
      <c r="AS360" s="11522"/>
      <c r="AT360" s="11523"/>
      <c r="AU360" s="11524"/>
      <c r="AV360" s="11525"/>
      <c r="AW360" s="11526"/>
      <c r="AX360" s="11527"/>
      <c r="AY360" s="11528"/>
      <c r="AZ360" s="11529"/>
      <c r="BA360" s="11530"/>
      <c r="BB360" s="11531"/>
      <c r="BC360" s="11532"/>
      <c r="BD360" s="11533"/>
      <c r="BE360" s="11534"/>
      <c r="BF360" s="11535"/>
      <c r="BG360" s="11536"/>
      <c r="BH360" s="11537"/>
      <c r="BI360" s="11538"/>
      <c r="BJ360" s="11539"/>
      <c r="BK360" s="11540"/>
      <c r="BL360" s="11541"/>
      <c r="BM360" s="11542"/>
      <c r="BN360" s="11543"/>
      <c r="BO360" s="11544"/>
      <c r="BP360" s="11545"/>
      <c r="BQ360" s="11546"/>
      <c r="BR360" s="11547"/>
      <c r="BS360" s="11548"/>
      <c r="BT360" s="11549"/>
      <c r="BU360" s="11550"/>
      <c r="BV360" s="11551"/>
      <c r="BW360" s="11552"/>
      <c r="BX360" s="11553"/>
      <c r="BY360" s="11554"/>
      <c r="BZ360" s="11555"/>
      <c r="CA360" s="11556"/>
      <c r="CB360" s="11557"/>
      <c r="CC360" s="11558"/>
      <c r="CD360" s="11559"/>
      <c r="CE360" s="11560"/>
      <c r="CF360" s="11561"/>
      <c r="CG360" s="11562"/>
      <c r="CH360" s="11563"/>
      <c r="CI360" s="11564"/>
      <c r="CJ360" s="11565"/>
      <c r="CK360" s="11566"/>
      <c r="CL360" s="11567"/>
      <c r="CM360" s="11568"/>
      <c r="CN360" s="11569"/>
      <c r="CO360" s="11570"/>
      <c r="CP360" s="11571"/>
      <c r="CQ360" s="11572"/>
      <c r="CR360" s="11573"/>
      <c r="CS360" s="11574"/>
      <c r="CT360" s="11575"/>
      <c r="CU360" s="11576"/>
      <c r="CV360" s="4287" t="s">
        <v>616</v>
      </c>
      <c r="CW360" s="4093"/>
      <c r="CX360" s="4196"/>
      <c r="CY360" s="4196" t="str">
        <f>IF(T360="","",T360)</f>
        <v>Добавить значение признака дифференциации</v>
      </c>
      <c r="CZ360" s="4196"/>
      <c r="DA360" s="4196"/>
      <c r="DB360" s="3858">
        <v>0</v>
      </c>
    </row>
    <row s="11577" customFormat="1" customHeight="1" ht="23.25">
      <c r="A361" s="4183"/>
      <c r="B361" s="4183"/>
      <c r="C361" s="4183"/>
      <c r="D361" s="4183"/>
      <c r="E361" s="4184"/>
      <c r="F361" s="4184"/>
      <c r="G361" s="4184"/>
      <c r="H361" s="4184"/>
      <c r="I361" s="4185"/>
      <c r="J361" s="4186" t="str">
        <f>I352&amp;".3"</f>
        <v>1.17.1.1.3</v>
      </c>
      <c r="K361" s="4183"/>
      <c r="L361" s="4187" t="s">
        <v>538</v>
      </c>
      <c r="M361" s="4188"/>
      <c r="N361" s="4188"/>
      <c r="O361" s="4188"/>
      <c r="P361" s="4189"/>
      <c r="Q361" s="4190" t="s">
        <v>109</v>
      </c>
      <c r="R361" s="4191"/>
      <c r="S361" s="4192" t="str">
        <f>$J361</f>
        <v>1.17.1.1.3</v>
      </c>
      <c r="T361" s="4193" t="s">
        <v>539</v>
      </c>
      <c r="U361" s="4194"/>
      <c r="V361" s="3874"/>
      <c r="W361" s="3875"/>
      <c r="X361" s="3875"/>
      <c r="Y361" s="3875"/>
      <c r="Z361" s="3875"/>
      <c r="AA361" s="3875"/>
      <c r="AB361" s="3876"/>
      <c r="AC361" s="3874" t="s">
        <v>627</v>
      </c>
      <c r="AD361" s="3875"/>
      <c r="AE361" s="3875"/>
      <c r="AF361" s="3875"/>
      <c r="AG361" s="3875"/>
      <c r="AH361" s="3875"/>
      <c r="AI361" s="3875"/>
      <c r="AJ361" s="3874"/>
      <c r="AK361" s="3875"/>
      <c r="AL361" s="3875"/>
      <c r="AM361" s="3875"/>
      <c r="AN361" s="3875"/>
      <c r="AO361" s="3875"/>
      <c r="AP361" s="3876"/>
      <c r="AQ361" s="3874"/>
      <c r="AR361" s="3875"/>
      <c r="AS361" s="3875"/>
      <c r="AT361" s="3875"/>
      <c r="AU361" s="3875"/>
      <c r="AV361" s="3875"/>
      <c r="AW361" s="3876"/>
      <c r="AX361" s="3874"/>
      <c r="AY361" s="3875"/>
      <c r="AZ361" s="3875"/>
      <c r="BA361" s="3875"/>
      <c r="BB361" s="3875"/>
      <c r="BC361" s="3875"/>
      <c r="BD361" s="3876"/>
      <c r="BE361" s="3874"/>
      <c r="BF361" s="3875"/>
      <c r="BG361" s="3875"/>
      <c r="BH361" s="3875"/>
      <c r="BI361" s="3875"/>
      <c r="BJ361" s="3875"/>
      <c r="BK361" s="3876"/>
      <c r="BL361" s="3874"/>
      <c r="BM361" s="3875"/>
      <c r="BN361" s="3875"/>
      <c r="BO361" s="3875"/>
      <c r="BP361" s="3875"/>
      <c r="BQ361" s="3875"/>
      <c r="BR361" s="3876"/>
      <c r="BS361" s="3874"/>
      <c r="BT361" s="3875"/>
      <c r="BU361" s="3875"/>
      <c r="BV361" s="3875"/>
      <c r="BW361" s="3875"/>
      <c r="BX361" s="3875"/>
      <c r="BY361" s="3876"/>
      <c r="BZ361" s="3874"/>
      <c r="CA361" s="3875"/>
      <c r="CB361" s="3875"/>
      <c r="CC361" s="3875"/>
      <c r="CD361" s="3875"/>
      <c r="CE361" s="3875"/>
      <c r="CF361" s="3876"/>
      <c r="CG361" s="3874"/>
      <c r="CH361" s="3875"/>
      <c r="CI361" s="3875"/>
      <c r="CJ361" s="3875"/>
      <c r="CK361" s="3875"/>
      <c r="CL361" s="3875"/>
      <c r="CM361" s="3876"/>
      <c r="CN361" s="3874"/>
      <c r="CO361" s="3875"/>
      <c r="CP361" s="3875"/>
      <c r="CQ361" s="3875"/>
      <c r="CR361" s="3875"/>
      <c r="CS361" s="3875"/>
      <c r="CT361" s="3876"/>
      <c r="CU361" s="3876"/>
      <c r="CV361" s="4195" t="s">
        <v>614</v>
      </c>
      <c r="CW361" s="4093"/>
      <c r="CX361" s="4196"/>
      <c r="CY361" s="4196" t="str">
        <f>IF(T361="","",T361)</f>
        <v>Группа потребителей</v>
      </c>
      <c r="CZ361" s="4196"/>
      <c r="DA361" s="4196"/>
      <c r="DB361" s="3858">
        <v>0</v>
      </c>
    </row>
    <row s="11578" customFormat="1" customHeight="1" ht="23.25">
      <c r="A362" s="4183"/>
      <c r="B362" s="4183"/>
      <c r="C362" s="4183"/>
      <c r="D362" s="4183"/>
      <c r="E362" s="4184"/>
      <c r="F362" s="4184"/>
      <c r="G362" s="4184"/>
      <c r="H362" s="4184"/>
      <c r="I362" s="4185"/>
      <c r="J362" s="4185" t="str">
        <f>I352&amp;".2"</f>
        <v>1.17.1.1.2</v>
      </c>
      <c r="K362" s="4186" t="str">
        <f>J361&amp;".1"</f>
        <v>1.17.1.1.3.1</v>
      </c>
      <c r="L362" s="4187"/>
      <c r="M362" s="4188"/>
      <c r="N362" s="4188"/>
      <c r="O362" s="4188"/>
      <c r="P362" s="4189"/>
      <c r="Q362" s="4189"/>
      <c r="R362" s="4191">
        <v>1</v>
      </c>
      <c r="S362" s="4192" t="str">
        <f>$K362</f>
        <v>1.17.1.1.3.1</v>
      </c>
      <c r="T362" s="4198"/>
      <c r="U362" s="4194"/>
      <c r="V362" s="3878"/>
      <c r="W362" s="3878"/>
      <c r="X362" s="3879"/>
      <c r="Y362" s="3880"/>
      <c r="Z362" s="3881" t="s">
        <v>65</v>
      </c>
      <c r="AA362" s="3880"/>
      <c r="AB362" s="3881" t="s">
        <v>65</v>
      </c>
      <c r="AC362" s="3878">
        <v>26.94</v>
      </c>
      <c r="AD362" s="3878"/>
      <c r="AE362" s="3879"/>
      <c r="AF362" s="3880">
        <v>45292</v>
      </c>
      <c r="AG362" s="3881" t="s">
        <v>65</v>
      </c>
      <c r="AH362" s="4116">
        <v>45473</v>
      </c>
      <c r="AI362" s="3881" t="s">
        <v>65</v>
      </c>
      <c r="AJ362" s="3878">
        <v>45.28</v>
      </c>
      <c r="AK362" s="3878"/>
      <c r="AL362" s="3879"/>
      <c r="AM362" s="3880">
        <v>45474</v>
      </c>
      <c r="AN362" s="3881" t="s">
        <v>65</v>
      </c>
      <c r="AO362" s="3880">
        <v>45657</v>
      </c>
      <c r="AP362" s="3881" t="s">
        <v>65</v>
      </c>
      <c r="AQ362" s="3878">
        <v>45.28</v>
      </c>
      <c r="AR362" s="3878"/>
      <c r="AS362" s="3879"/>
      <c r="AT362" s="3880">
        <v>45658</v>
      </c>
      <c r="AU362" s="3881" t="s">
        <v>65</v>
      </c>
      <c r="AV362" s="3880">
        <v>45838</v>
      </c>
      <c r="AW362" s="3881" t="s">
        <v>65</v>
      </c>
      <c r="AX362" s="3878">
        <v>47.23</v>
      </c>
      <c r="AY362" s="3878"/>
      <c r="AZ362" s="3879"/>
      <c r="BA362" s="3880">
        <v>45839</v>
      </c>
      <c r="BB362" s="3881" t="s">
        <v>65</v>
      </c>
      <c r="BC362" s="3880">
        <v>46022</v>
      </c>
      <c r="BD362" s="3881" t="s">
        <v>65</v>
      </c>
      <c r="BE362" s="3878">
        <v>39.66</v>
      </c>
      <c r="BF362" s="3878"/>
      <c r="BG362" s="3879"/>
      <c r="BH362" s="3880">
        <v>46023</v>
      </c>
      <c r="BI362" s="3881" t="s">
        <v>65</v>
      </c>
      <c r="BJ362" s="3880">
        <v>46203</v>
      </c>
      <c r="BK362" s="3881" t="s">
        <v>65</v>
      </c>
      <c r="BL362" s="3878">
        <v>46</v>
      </c>
      <c r="BM362" s="3878"/>
      <c r="BN362" s="3879"/>
      <c r="BO362" s="3880">
        <v>46204</v>
      </c>
      <c r="BP362" s="3881" t="s">
        <v>65</v>
      </c>
      <c r="BQ362" s="3880">
        <v>46387</v>
      </c>
      <c r="BR362" s="3881" t="s">
        <v>65</v>
      </c>
      <c r="BS362" s="3878">
        <v>46</v>
      </c>
      <c r="BT362" s="3878"/>
      <c r="BU362" s="3879"/>
      <c r="BV362" s="3880">
        <v>46388</v>
      </c>
      <c r="BW362" s="3881" t="s">
        <v>65</v>
      </c>
      <c r="BX362" s="3880">
        <v>46568</v>
      </c>
      <c r="BY362" s="3881" t="s">
        <v>65</v>
      </c>
      <c r="BZ362" s="3878">
        <v>50.94</v>
      </c>
      <c r="CA362" s="3878"/>
      <c r="CB362" s="3879"/>
      <c r="CC362" s="3880">
        <v>46569</v>
      </c>
      <c r="CD362" s="3881" t="s">
        <v>65</v>
      </c>
      <c r="CE362" s="3880">
        <v>46752</v>
      </c>
      <c r="CF362" s="3881" t="s">
        <v>65</v>
      </c>
      <c r="CG362" s="3878">
        <v>50.94</v>
      </c>
      <c r="CH362" s="3878"/>
      <c r="CI362" s="3879"/>
      <c r="CJ362" s="3880">
        <v>46753</v>
      </c>
      <c r="CK362" s="3881" t="s">
        <v>65</v>
      </c>
      <c r="CL362" s="3880">
        <v>46934</v>
      </c>
      <c r="CM362" s="3881" t="s">
        <v>65</v>
      </c>
      <c r="CN362" s="3878">
        <v>60.03</v>
      </c>
      <c r="CO362" s="3878"/>
      <c r="CP362" s="3879"/>
      <c r="CQ362" s="3880">
        <v>46935</v>
      </c>
      <c r="CR362" s="3881" t="s">
        <v>65</v>
      </c>
      <c r="CS362" s="3880">
        <v>47118</v>
      </c>
      <c r="CT362" s="3881" t="s">
        <v>65</v>
      </c>
      <c r="CU362" s="4199"/>
      <c r="CV362"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62" s="4093">
        <f>STRCHECKDATE(V363:CU363)</f>
      </c>
      <c r="CX362" s="4196"/>
      <c r="CY362" s="4196" t="str">
        <f>IF(T362="","",T362)</f>
        <v/>
      </c>
      <c r="CZ362" s="4196"/>
      <c r="DA362" s="4196"/>
      <c r="DB362" s="3858">
        <v>0</v>
      </c>
    </row>
    <row s="11579" customFormat="1" customHeight="1" ht="14.25">
      <c r="A363" s="4183"/>
      <c r="B363" s="4183"/>
      <c r="C363" s="4183"/>
      <c r="D363" s="4183"/>
      <c r="E363" s="4184"/>
      <c r="F363" s="4184"/>
      <c r="G363" s="4184"/>
      <c r="H363" s="4184"/>
      <c r="I363" s="4185"/>
      <c r="J363" s="4185" t="str">
        <f>I352&amp;".2"</f>
        <v>1.17.1.1.2</v>
      </c>
      <c r="K363" s="4186"/>
      <c r="L363" s="4187"/>
      <c r="M363" s="4188"/>
      <c r="N363" s="4188"/>
      <c r="O363" s="4188"/>
      <c r="P363" s="4189"/>
      <c r="Q363" s="4189"/>
      <c r="R363" s="4191"/>
      <c r="S363" s="4202"/>
      <c r="T363" s="4194"/>
      <c r="U363" s="4194"/>
      <c r="V363" s="3885"/>
      <c r="W363" s="3885"/>
      <c r="X363" s="3886" t="str">
        <f>Y362&amp;"-"&amp;AA362</f>
        <v>-</v>
      </c>
      <c r="Y363" s="3887"/>
      <c r="Z363" s="3881"/>
      <c r="AA363" s="3887"/>
      <c r="AB363" s="3881"/>
      <c r="AC363" s="3885"/>
      <c r="AD363" s="3885"/>
      <c r="AE363" s="3886" t="str">
        <f>AF362&amp;"-"&amp;AH362</f>
        <v>45292-45473</v>
      </c>
      <c r="AF363" s="3887"/>
      <c r="AG363" s="3881"/>
      <c r="AH363" s="4118"/>
      <c r="AI363" s="3881"/>
      <c r="AJ363" s="3885"/>
      <c r="AK363" s="3885"/>
      <c r="AL363" s="3886" t="str">
        <f>AM362&amp;"-"&amp;AO362</f>
        <v>45474-45657</v>
      </c>
      <c r="AM363" s="3887"/>
      <c r="AN363" s="3881"/>
      <c r="AO363" s="3887"/>
      <c r="AP363" s="3881"/>
      <c r="AQ363" s="3885"/>
      <c r="AR363" s="3885"/>
      <c r="AS363" s="3886" t="str">
        <f>AT362&amp;"-"&amp;AV362</f>
        <v>45658-45838</v>
      </c>
      <c r="AT363" s="3887"/>
      <c r="AU363" s="3881"/>
      <c r="AV363" s="3887"/>
      <c r="AW363" s="3881"/>
      <c r="AX363" s="3885"/>
      <c r="AY363" s="3885"/>
      <c r="AZ363" s="3886" t="str">
        <f>BA362&amp;"-"&amp;BC362</f>
        <v>45839-46022</v>
      </c>
      <c r="BA363" s="3887"/>
      <c r="BB363" s="3881"/>
      <c r="BC363" s="3887"/>
      <c r="BD363" s="3881"/>
      <c r="BE363" s="3885"/>
      <c r="BF363" s="3885"/>
      <c r="BG363" s="3886" t="str">
        <f>BH362&amp;"-"&amp;BJ362</f>
        <v>46023-46203</v>
      </c>
      <c r="BH363" s="3887"/>
      <c r="BI363" s="3881"/>
      <c r="BJ363" s="3887"/>
      <c r="BK363" s="3881"/>
      <c r="BL363" s="3885"/>
      <c r="BM363" s="3885"/>
      <c r="BN363" s="3886" t="str">
        <f>BO362&amp;"-"&amp;BQ362</f>
        <v>46204-46387</v>
      </c>
      <c r="BO363" s="3887"/>
      <c r="BP363" s="3881"/>
      <c r="BQ363" s="3887"/>
      <c r="BR363" s="3881"/>
      <c r="BS363" s="3885"/>
      <c r="BT363" s="3885"/>
      <c r="BU363" s="3886" t="str">
        <f>BV362&amp;"-"&amp;BX362</f>
        <v>46388-46568</v>
      </c>
      <c r="BV363" s="3887"/>
      <c r="BW363" s="3881"/>
      <c r="BX363" s="3887"/>
      <c r="BY363" s="3881"/>
      <c r="BZ363" s="3885"/>
      <c r="CA363" s="3885"/>
      <c r="CB363" s="3886" t="str">
        <f>CC362&amp;"-"&amp;CE362</f>
        <v>46569-46752</v>
      </c>
      <c r="CC363" s="3887"/>
      <c r="CD363" s="3881"/>
      <c r="CE363" s="3887"/>
      <c r="CF363" s="3881"/>
      <c r="CG363" s="3885"/>
      <c r="CH363" s="3885"/>
      <c r="CI363" s="3886" t="str">
        <f>CJ362&amp;"-"&amp;CL362</f>
        <v>46753-46934</v>
      </c>
      <c r="CJ363" s="3887"/>
      <c r="CK363" s="3881"/>
      <c r="CL363" s="3887"/>
      <c r="CM363" s="3881"/>
      <c r="CN363" s="3885"/>
      <c r="CO363" s="3885"/>
      <c r="CP363" s="3886" t="str">
        <f>CQ362&amp;"-"&amp;CS362</f>
        <v>46935-47118</v>
      </c>
      <c r="CQ363" s="3887"/>
      <c r="CR363" s="3881"/>
      <c r="CS363" s="3887"/>
      <c r="CT363" s="3881"/>
      <c r="CU363" s="4203"/>
      <c r="CV363" s="4200"/>
      <c r="CW363" s="4093"/>
      <c r="CX363" s="4196"/>
      <c r="CY363" s="4196" t="str">
        <f>IF(T363="","",T363)</f>
        <v/>
      </c>
      <c r="CZ363" s="4196"/>
      <c r="DA363" s="4196"/>
      <c r="DB363" s="3858">
        <v>0</v>
      </c>
    </row>
    <row s="11580" customFormat="1" customHeight="1" ht="21">
      <c r="A364" s="4183"/>
      <c r="B364" s="4183"/>
      <c r="C364" s="4183"/>
      <c r="D364" s="4183"/>
      <c r="E364" s="4184"/>
      <c r="F364" s="4184"/>
      <c r="G364" s="4184"/>
      <c r="H364" s="4184"/>
      <c r="I364" s="4185"/>
      <c r="J364" s="4186" t="str">
        <f>I352&amp;".2"</f>
        <v>1.17.1.1.2</v>
      </c>
      <c r="K364" s="4183"/>
      <c r="L364" s="4187"/>
      <c r="M364" s="4188"/>
      <c r="N364" s="4188"/>
      <c r="O364" s="4188"/>
      <c r="P364" s="4189"/>
      <c r="Q364" s="4189"/>
      <c r="R364" s="4205"/>
      <c r="S364" s="11581"/>
      <c r="T364" s="11582" t="s">
        <v>615</v>
      </c>
      <c r="U364" s="11583"/>
      <c r="V364" s="11584"/>
      <c r="W364" s="11585"/>
      <c r="X364" s="11586"/>
      <c r="Y364" s="11587"/>
      <c r="Z364" s="11588"/>
      <c r="AA364" s="11589"/>
      <c r="AB364" s="11590"/>
      <c r="AC364" s="11591"/>
      <c r="AD364" s="11592"/>
      <c r="AE364" s="11593"/>
      <c r="AF364" s="11594"/>
      <c r="AG364" s="11595"/>
      <c r="AH364" s="11596"/>
      <c r="AI364" s="11597"/>
      <c r="AJ364" s="11598"/>
      <c r="AK364" s="11599"/>
      <c r="AL364" s="11600"/>
      <c r="AM364" s="11601"/>
      <c r="AN364" s="11602"/>
      <c r="AO364" s="11603"/>
      <c r="AP364" s="11604"/>
      <c r="AQ364" s="11605"/>
      <c r="AR364" s="11606"/>
      <c r="AS364" s="11607"/>
      <c r="AT364" s="11608"/>
      <c r="AU364" s="11609"/>
      <c r="AV364" s="11610"/>
      <c r="AW364" s="11611"/>
      <c r="AX364" s="11612"/>
      <c r="AY364" s="11613"/>
      <c r="AZ364" s="11614"/>
      <c r="BA364" s="11615"/>
      <c r="BB364" s="11616"/>
      <c r="BC364" s="11617"/>
      <c r="BD364" s="11618"/>
      <c r="BE364" s="11619"/>
      <c r="BF364" s="11620"/>
      <c r="BG364" s="11621"/>
      <c r="BH364" s="11622"/>
      <c r="BI364" s="11623"/>
      <c r="BJ364" s="11624"/>
      <c r="BK364" s="11625"/>
      <c r="BL364" s="11626"/>
      <c r="BM364" s="11627"/>
      <c r="BN364" s="11628"/>
      <c r="BO364" s="11629"/>
      <c r="BP364" s="11630"/>
      <c r="BQ364" s="11631"/>
      <c r="BR364" s="11632"/>
      <c r="BS364" s="11633"/>
      <c r="BT364" s="11634"/>
      <c r="BU364" s="11635"/>
      <c r="BV364" s="11636"/>
      <c r="BW364" s="11637"/>
      <c r="BX364" s="11638"/>
      <c r="BY364" s="11639"/>
      <c r="BZ364" s="11640"/>
      <c r="CA364" s="11641"/>
      <c r="CB364" s="11642"/>
      <c r="CC364" s="11643"/>
      <c r="CD364" s="11644"/>
      <c r="CE364" s="11645"/>
      <c r="CF364" s="11646"/>
      <c r="CG364" s="11647"/>
      <c r="CH364" s="11648"/>
      <c r="CI364" s="11649"/>
      <c r="CJ364" s="11650"/>
      <c r="CK364" s="11651"/>
      <c r="CL364" s="11652"/>
      <c r="CM364" s="11653"/>
      <c r="CN364" s="11654"/>
      <c r="CO364" s="11655"/>
      <c r="CP364" s="11656"/>
      <c r="CQ364" s="11657"/>
      <c r="CR364" s="11658"/>
      <c r="CS364" s="11659"/>
      <c r="CT364" s="11660"/>
      <c r="CU364" s="11661"/>
      <c r="CV364" s="4287" t="s">
        <v>616</v>
      </c>
      <c r="CW364" s="4093"/>
      <c r="CX364" s="4196"/>
      <c r="CY364" s="4196" t="str">
        <f>IF(T364="","",T364)</f>
        <v>Добавить значение признака дифференциации</v>
      </c>
      <c r="CZ364" s="4196"/>
      <c r="DA364" s="4196"/>
      <c r="DB364" s="3858">
        <v>0</v>
      </c>
    </row>
    <row s="11662" customFormat="1" customHeight="1" ht="21">
      <c r="A365" s="4183"/>
      <c r="B365" s="4183"/>
      <c r="C365" s="4183"/>
      <c r="D365" s="4183"/>
      <c r="E365" s="4184"/>
      <c r="F365" s="4184" t="s">
        <v>175</v>
      </c>
      <c r="G365" s="4184"/>
      <c r="H365" s="4184"/>
      <c r="I365" s="4186"/>
      <c r="J365" s="4183"/>
      <c r="K365" s="4183"/>
      <c r="L365" s="4187"/>
      <c r="M365" s="4188"/>
      <c r="N365" s="4188"/>
      <c r="O365" s="4188"/>
      <c r="P365" s="4189"/>
      <c r="Q365" s="4189"/>
      <c r="R365" s="4205"/>
      <c r="S365" s="11663"/>
      <c r="T365" s="11664" t="s">
        <v>544</v>
      </c>
      <c r="U365" s="11665"/>
      <c r="V365" s="11666"/>
      <c r="W365" s="11667"/>
      <c r="X365" s="11668"/>
      <c r="Y365" s="11669"/>
      <c r="Z365" s="11670"/>
      <c r="AA365" s="11671"/>
      <c r="AB365" s="11672"/>
      <c r="AC365" s="11673"/>
      <c r="AD365" s="11674"/>
      <c r="AE365" s="11675"/>
      <c r="AF365" s="11676"/>
      <c r="AG365" s="11677"/>
      <c r="AH365" s="11678"/>
      <c r="AI365" s="11679"/>
      <c r="AJ365" s="11680"/>
      <c r="AK365" s="11681"/>
      <c r="AL365" s="11682"/>
      <c r="AM365" s="11683"/>
      <c r="AN365" s="11684"/>
      <c r="AO365" s="11685"/>
      <c r="AP365" s="11686"/>
      <c r="AQ365" s="11687"/>
      <c r="AR365" s="11688"/>
      <c r="AS365" s="11689"/>
      <c r="AT365" s="11690"/>
      <c r="AU365" s="11691"/>
      <c r="AV365" s="11692"/>
      <c r="AW365" s="11693"/>
      <c r="AX365" s="11694"/>
      <c r="AY365" s="11695"/>
      <c r="AZ365" s="11696"/>
      <c r="BA365" s="11697"/>
      <c r="BB365" s="11698"/>
      <c r="BC365" s="11699"/>
      <c r="BD365" s="11700"/>
      <c r="BE365" s="11701"/>
      <c r="BF365" s="11702"/>
      <c r="BG365" s="11703"/>
      <c r="BH365" s="11704"/>
      <c r="BI365" s="11705"/>
      <c r="BJ365" s="11706"/>
      <c r="BK365" s="11707"/>
      <c r="BL365" s="11708"/>
      <c r="BM365" s="11709"/>
      <c r="BN365" s="11710"/>
      <c r="BO365" s="11711"/>
      <c r="BP365" s="11712"/>
      <c r="BQ365" s="11713"/>
      <c r="BR365" s="11714"/>
      <c r="BS365" s="11715"/>
      <c r="BT365" s="11716"/>
      <c r="BU365" s="11717"/>
      <c r="BV365" s="11718"/>
      <c r="BW365" s="11719"/>
      <c r="BX365" s="11720"/>
      <c r="BY365" s="11721"/>
      <c r="BZ365" s="11722"/>
      <c r="CA365" s="11723"/>
      <c r="CB365" s="11724"/>
      <c r="CC365" s="11725"/>
      <c r="CD365" s="11726"/>
      <c r="CE365" s="11727"/>
      <c r="CF365" s="11728"/>
      <c r="CG365" s="11729"/>
      <c r="CH365" s="11730"/>
      <c r="CI365" s="11731"/>
      <c r="CJ365" s="11732"/>
      <c r="CK365" s="11733"/>
      <c r="CL365" s="11734"/>
      <c r="CM365" s="11735"/>
      <c r="CN365" s="11736"/>
      <c r="CO365" s="11737"/>
      <c r="CP365" s="11738"/>
      <c r="CQ365" s="11739"/>
      <c r="CR365" s="11740"/>
      <c r="CS365" s="11741"/>
      <c r="CT365" s="11742"/>
      <c r="CU365" s="11743"/>
      <c r="CV365" s="11744"/>
      <c r="CW365" s="4093"/>
      <c r="CX365" s="4196"/>
      <c r="CY365" s="4196" t="str">
        <f>IF(T365="","",T365)</f>
        <v>Добавить группу потребителей</v>
      </c>
      <c r="CZ365" s="4196"/>
      <c r="DA365" s="4196"/>
      <c r="DB365" s="3858">
        <v>0</v>
      </c>
    </row>
    <row s="11745" customFormat="1" customHeight="1" ht="14.25">
      <c r="A366" s="4183"/>
      <c r="B366" s="4183"/>
      <c r="C366" s="4183"/>
      <c r="D366" s="4183"/>
      <c r="E366" s="4184"/>
      <c r="F366" s="4184" t="s">
        <v>175</v>
      </c>
      <c r="G366" s="4184"/>
      <c r="H366" s="4500"/>
      <c r="I366" s="4183"/>
      <c r="J366" s="4183"/>
      <c r="K366" s="4183"/>
      <c r="L366" s="4187"/>
      <c r="M366" s="4501"/>
      <c r="N366" s="4501"/>
      <c r="O366" s="4083"/>
      <c r="P366" s="4853"/>
      <c r="Q366" s="4854"/>
      <c r="R366" s="4855"/>
      <c r="S366" s="11746"/>
      <c r="T366" s="11747" t="s">
        <v>617</v>
      </c>
      <c r="U366" s="11748"/>
      <c r="V366" s="11749"/>
      <c r="W366" s="11750"/>
      <c r="X366" s="11751"/>
      <c r="Y366" s="11752"/>
      <c r="Z366" s="11753"/>
      <c r="AA366" s="11754"/>
      <c r="AB366" s="11755"/>
      <c r="AC366" s="11756"/>
      <c r="AD366" s="11757"/>
      <c r="AE366" s="11758"/>
      <c r="AF366" s="11759"/>
      <c r="AG366" s="11760"/>
      <c r="AH366" s="11761"/>
      <c r="AI366" s="11762"/>
      <c r="AJ366" s="11763"/>
      <c r="AK366" s="11764"/>
      <c r="AL366" s="11765"/>
      <c r="AM366" s="11766"/>
      <c r="AN366" s="11767"/>
      <c r="AO366" s="11768"/>
      <c r="AP366" s="11769"/>
      <c r="AQ366" s="11770"/>
      <c r="AR366" s="11771"/>
      <c r="AS366" s="11772"/>
      <c r="AT366" s="11773"/>
      <c r="AU366" s="11774"/>
      <c r="AV366" s="11775"/>
      <c r="AW366" s="11776"/>
      <c r="AX366" s="11777"/>
      <c r="AY366" s="11778"/>
      <c r="AZ366" s="11779"/>
      <c r="BA366" s="11780"/>
      <c r="BB366" s="11781"/>
      <c r="BC366" s="11782"/>
      <c r="BD366" s="11783"/>
      <c r="BE366" s="11784"/>
      <c r="BF366" s="11785"/>
      <c r="BG366" s="11786"/>
      <c r="BH366" s="11787"/>
      <c r="BI366" s="11788"/>
      <c r="BJ366" s="11789"/>
      <c r="BK366" s="11790"/>
      <c r="BL366" s="11791"/>
      <c r="BM366" s="11792"/>
      <c r="BN366" s="11793"/>
      <c r="BO366" s="11794"/>
      <c r="BP366" s="11795"/>
      <c r="BQ366" s="11796"/>
      <c r="BR366" s="11797"/>
      <c r="BS366" s="11798"/>
      <c r="BT366" s="11799"/>
      <c r="BU366" s="11800"/>
      <c r="BV366" s="11801"/>
      <c r="BW366" s="11802"/>
      <c r="BX366" s="11803"/>
      <c r="BY366" s="11804"/>
      <c r="BZ366" s="11805"/>
      <c r="CA366" s="11806"/>
      <c r="CB366" s="11807"/>
      <c r="CC366" s="11808"/>
      <c r="CD366" s="11809"/>
      <c r="CE366" s="11810"/>
      <c r="CF366" s="11811"/>
      <c r="CG366" s="11812"/>
      <c r="CH366" s="11813"/>
      <c r="CI366" s="11814"/>
      <c r="CJ366" s="11815"/>
      <c r="CK366" s="11816"/>
      <c r="CL366" s="11817"/>
      <c r="CM366" s="11818"/>
      <c r="CN366" s="11819"/>
      <c r="CO366" s="11820"/>
      <c r="CP366" s="11821"/>
      <c r="CQ366" s="11822"/>
      <c r="CR366" s="11823"/>
      <c r="CS366" s="11824"/>
      <c r="CT366" s="11825"/>
      <c r="CU366" s="11826"/>
      <c r="CV366" s="11827"/>
      <c r="CW366" s="4093"/>
      <c r="CX366" s="4196"/>
      <c r="CY366" s="4196" t="str">
        <f>IF(T366="","",T366)</f>
        <v>Добавить наименование признака дифференциации</v>
      </c>
      <c r="CZ366" s="4196"/>
      <c r="DA366" s="4196"/>
      <c r="DB366" s="3858">
        <v>0</v>
      </c>
    </row>
    <row s="11828" customFormat="1" customHeight="1" ht="23.25">
      <c r="A367" s="4183"/>
      <c r="B367" s="4183"/>
      <c r="C367" s="4183" t="s">
        <v>357</v>
      </c>
      <c r="D367" s="4183"/>
      <c r="E367" s="4184"/>
      <c r="F367" s="4184"/>
      <c r="G367" s="4500" t="s">
        <v>108</v>
      </c>
      <c r="H367" s="4183"/>
      <c r="I367" s="4183"/>
      <c r="J367" s="4183"/>
      <c r="K367" s="4183"/>
      <c r="L367" s="4187"/>
      <c r="M367" s="4501"/>
      <c r="N367" s="4501"/>
      <c r="O367" s="4501"/>
      <c r="P367" s="4507"/>
      <c r="Q367" s="4503"/>
      <c r="R367" s="4504"/>
      <c r="S367" s="4192" t="str">
        <f>INDEX(PT_DIFFERENTIATION_NUM_CS,MATCH(C367,PT_DIFFERENTIATION_CS_ID,0))</f>
        <v>1.17.2</v>
      </c>
      <c r="T367" s="4508" t="s">
        <v>610</v>
      </c>
      <c r="U367" s="4194"/>
      <c r="V367" s="3860"/>
      <c r="W367" s="3861"/>
      <c r="X367" s="3861"/>
      <c r="Y367" s="3861"/>
      <c r="Z367" s="3861"/>
      <c r="AA367" s="3861"/>
      <c r="AB367" s="3862"/>
      <c r="AC367" s="3860" t="str">
        <f>INDEX(PT_DIFFERENTIATION_CS,MATCH(C367,PT_DIFFERENTIATION_CS_ID,0))</f>
        <v>кроме п. Искра</v>
      </c>
      <c r="AD367" s="3861"/>
      <c r="AE367" s="3861"/>
      <c r="AF367" s="3861"/>
      <c r="AG367" s="3861"/>
      <c r="AH367" s="3861"/>
      <c r="AI367" s="3861"/>
      <c r="AJ367" s="3860"/>
      <c r="AK367" s="3861"/>
      <c r="AL367" s="3861"/>
      <c r="AM367" s="3861"/>
      <c r="AN367" s="3861"/>
      <c r="AO367" s="3861"/>
      <c r="AP367" s="3862"/>
      <c r="AQ367" s="3860"/>
      <c r="AR367" s="3861"/>
      <c r="AS367" s="3861"/>
      <c r="AT367" s="3861"/>
      <c r="AU367" s="3861"/>
      <c r="AV367" s="3861"/>
      <c r="AW367" s="3862"/>
      <c r="AX367" s="3860"/>
      <c r="AY367" s="3861"/>
      <c r="AZ367" s="3861"/>
      <c r="BA367" s="3861"/>
      <c r="BB367" s="3861"/>
      <c r="BC367" s="3861"/>
      <c r="BD367" s="3862"/>
      <c r="BE367" s="3860"/>
      <c r="BF367" s="3861"/>
      <c r="BG367" s="3861"/>
      <c r="BH367" s="3861"/>
      <c r="BI367" s="3861"/>
      <c r="BJ367" s="3861"/>
      <c r="BK367" s="3862"/>
      <c r="BL367" s="3860"/>
      <c r="BM367" s="3861"/>
      <c r="BN367" s="3861"/>
      <c r="BO367" s="3861"/>
      <c r="BP367" s="3861"/>
      <c r="BQ367" s="3861"/>
      <c r="BR367" s="3862"/>
      <c r="BS367" s="3860"/>
      <c r="BT367" s="3861"/>
      <c r="BU367" s="3861"/>
      <c r="BV367" s="3861"/>
      <c r="BW367" s="3861"/>
      <c r="BX367" s="3861"/>
      <c r="BY367" s="3862"/>
      <c r="BZ367" s="3860"/>
      <c r="CA367" s="3861"/>
      <c r="CB367" s="3861"/>
      <c r="CC367" s="3861"/>
      <c r="CD367" s="3861"/>
      <c r="CE367" s="3861"/>
      <c r="CF367" s="3862"/>
      <c r="CG367" s="3860"/>
      <c r="CH367" s="3861"/>
      <c r="CI367" s="3861"/>
      <c r="CJ367" s="3861"/>
      <c r="CK367" s="3861"/>
      <c r="CL367" s="3861"/>
      <c r="CM367" s="3862"/>
      <c r="CN367" s="3860"/>
      <c r="CO367" s="3861"/>
      <c r="CP367" s="3861"/>
      <c r="CQ367" s="3861"/>
      <c r="CR367" s="3861"/>
      <c r="CS367" s="3861"/>
      <c r="CT367" s="3862"/>
      <c r="CU367" s="3862"/>
      <c r="CV367" s="4287" t="s">
        <v>611</v>
      </c>
      <c r="CW367" s="4093"/>
      <c r="CX367" s="4196"/>
      <c r="CY367" s="4196" t="str">
        <f>IF(T367="","",T367)</f>
        <v>Наименование централизованной системы холодного водоснабжения</v>
      </c>
      <c r="CZ367" s="4196"/>
      <c r="DA367" s="4196"/>
      <c r="DB367" s="3858">
        <v>0</v>
      </c>
    </row>
    <row s="11829" customFormat="1" customHeight="1" ht="23.25">
      <c r="A368" s="4183"/>
      <c r="B368" s="4183"/>
      <c r="C368" s="4183"/>
      <c r="D368" s="4183"/>
      <c r="E368" s="4184"/>
      <c r="F368" s="4184"/>
      <c r="G368" s="4184">
        <v>1</v>
      </c>
      <c r="H368" s="4184"/>
      <c r="I368" s="4186" t="str">
        <f>S367&amp;".1"</f>
        <v>1.17.2.1</v>
      </c>
      <c r="J368" s="4183"/>
      <c r="K368" s="4183"/>
      <c r="L368" s="4187"/>
      <c r="M368" s="4188"/>
      <c r="N368" s="4188"/>
      <c r="O368" s="4188"/>
      <c r="P368" s="4189">
        <v>1</v>
      </c>
      <c r="Q368" s="4189"/>
      <c r="R368" s="4205"/>
      <c r="S368" s="4192" t="str">
        <f>$I368</f>
        <v>1.17.2.1</v>
      </c>
      <c r="T368" s="4510" t="s">
        <v>612</v>
      </c>
      <c r="U368" s="4194"/>
      <c r="V368" s="3870"/>
      <c r="W368" s="3871"/>
      <c r="X368" s="3871"/>
      <c r="Y368" s="3871"/>
      <c r="Z368" s="3871"/>
      <c r="AA368" s="3871"/>
      <c r="AB368" s="3872"/>
      <c r="AC368" s="4511"/>
      <c r="AD368" s="4512"/>
      <c r="AE368" s="4512"/>
      <c r="AF368" s="4512"/>
      <c r="AG368" s="4512"/>
      <c r="AH368" s="4512"/>
      <c r="AI368" s="4512"/>
      <c r="AJ368" s="3870"/>
      <c r="AK368" s="3871"/>
      <c r="AL368" s="3871"/>
      <c r="AM368" s="3871"/>
      <c r="AN368" s="3871"/>
      <c r="AO368" s="3871"/>
      <c r="AP368" s="3872"/>
      <c r="AQ368" s="3870"/>
      <c r="AR368" s="3871"/>
      <c r="AS368" s="3871"/>
      <c r="AT368" s="3871"/>
      <c r="AU368" s="3871"/>
      <c r="AV368" s="3871"/>
      <c r="AW368" s="3872"/>
      <c r="AX368" s="3870"/>
      <c r="AY368" s="3871"/>
      <c r="AZ368" s="3871"/>
      <c r="BA368" s="3871"/>
      <c r="BB368" s="3871"/>
      <c r="BC368" s="3871"/>
      <c r="BD368" s="3872"/>
      <c r="BE368" s="3870"/>
      <c r="BF368" s="3871"/>
      <c r="BG368" s="3871"/>
      <c r="BH368" s="3871"/>
      <c r="BI368" s="3871"/>
      <c r="BJ368" s="3871"/>
      <c r="BK368" s="3872"/>
      <c r="BL368" s="3870"/>
      <c r="BM368" s="3871"/>
      <c r="BN368" s="3871"/>
      <c r="BO368" s="3871"/>
      <c r="BP368" s="3871"/>
      <c r="BQ368" s="3871"/>
      <c r="BR368" s="3872"/>
      <c r="BS368" s="3870"/>
      <c r="BT368" s="3871"/>
      <c r="BU368" s="3871"/>
      <c r="BV368" s="3871"/>
      <c r="BW368" s="3871"/>
      <c r="BX368" s="3871"/>
      <c r="BY368" s="3872"/>
      <c r="BZ368" s="3870"/>
      <c r="CA368" s="3871"/>
      <c r="CB368" s="3871"/>
      <c r="CC368" s="3871"/>
      <c r="CD368" s="3871"/>
      <c r="CE368" s="3871"/>
      <c r="CF368" s="3872"/>
      <c r="CG368" s="3870"/>
      <c r="CH368" s="3871"/>
      <c r="CI368" s="3871"/>
      <c r="CJ368" s="3871"/>
      <c r="CK368" s="3871"/>
      <c r="CL368" s="3871"/>
      <c r="CM368" s="3872"/>
      <c r="CN368" s="3870"/>
      <c r="CO368" s="3871"/>
      <c r="CP368" s="3871"/>
      <c r="CQ368" s="3871"/>
      <c r="CR368" s="3871"/>
      <c r="CS368" s="3871"/>
      <c r="CT368" s="3872"/>
      <c r="CU368" s="4513"/>
      <c r="CV368" s="4287" t="s">
        <v>613</v>
      </c>
      <c r="CW368" s="4093"/>
      <c r="CX368" s="4196"/>
      <c r="CY368" s="4196" t="str">
        <f>IF(T368="","",T368)</f>
        <v>Наименование признака дифференциации</v>
      </c>
      <c r="CZ368" s="4196"/>
      <c r="DA368" s="4196"/>
      <c r="DB368" s="3858">
        <v>0</v>
      </c>
    </row>
    <row s="11830" customFormat="1" customHeight="1" ht="23.25">
      <c r="A369" s="4183"/>
      <c r="B369" s="4183"/>
      <c r="C369" s="4183"/>
      <c r="D369" s="4183"/>
      <c r="E369" s="4184"/>
      <c r="F369" s="4184"/>
      <c r="G369" s="4184">
        <v>1</v>
      </c>
      <c r="H369" s="4184"/>
      <c r="I369" s="4185"/>
      <c r="J369" s="4186" t="str">
        <f>I368&amp;".1"</f>
        <v>1.17.2.1.1</v>
      </c>
      <c r="K369" s="4183"/>
      <c r="L369" s="4187" t="s">
        <v>538</v>
      </c>
      <c r="M369" s="4188"/>
      <c r="N369" s="4188"/>
      <c r="O369" s="4188"/>
      <c r="P369" s="4189"/>
      <c r="Q369" s="4189">
        <v>1</v>
      </c>
      <c r="R369" s="4191"/>
      <c r="S369" s="4192" t="str">
        <f>$J369</f>
        <v>1.17.2.1.1</v>
      </c>
      <c r="T369" s="4193" t="s">
        <v>539</v>
      </c>
      <c r="U369" s="4194"/>
      <c r="V369" s="3874"/>
      <c r="W369" s="3875"/>
      <c r="X369" s="3875"/>
      <c r="Y369" s="3875"/>
      <c r="Z369" s="3875"/>
      <c r="AA369" s="3875"/>
      <c r="AB369" s="3876"/>
      <c r="AC369" s="3874" t="s">
        <v>625</v>
      </c>
      <c r="AD369" s="3875"/>
      <c r="AE369" s="3875"/>
      <c r="AF369" s="3875"/>
      <c r="AG369" s="3875"/>
      <c r="AH369" s="3875"/>
      <c r="AI369" s="3875"/>
      <c r="AJ369" s="3874"/>
      <c r="AK369" s="3875"/>
      <c r="AL369" s="3875"/>
      <c r="AM369" s="3875"/>
      <c r="AN369" s="3875"/>
      <c r="AO369" s="3875"/>
      <c r="AP369" s="3876"/>
      <c r="AQ369" s="3874"/>
      <c r="AR369" s="3875"/>
      <c r="AS369" s="3875"/>
      <c r="AT369" s="3875"/>
      <c r="AU369" s="3875"/>
      <c r="AV369" s="3875"/>
      <c r="AW369" s="3876"/>
      <c r="AX369" s="3874"/>
      <c r="AY369" s="3875"/>
      <c r="AZ369" s="3875"/>
      <c r="BA369" s="3875"/>
      <c r="BB369" s="3875"/>
      <c r="BC369" s="3875"/>
      <c r="BD369" s="3876"/>
      <c r="BE369" s="3874"/>
      <c r="BF369" s="3875"/>
      <c r="BG369" s="3875"/>
      <c r="BH369" s="3875"/>
      <c r="BI369" s="3875"/>
      <c r="BJ369" s="3875"/>
      <c r="BK369" s="3876"/>
      <c r="BL369" s="3874"/>
      <c r="BM369" s="3875"/>
      <c r="BN369" s="3875"/>
      <c r="BO369" s="3875"/>
      <c r="BP369" s="3875"/>
      <c r="BQ369" s="3875"/>
      <c r="BR369" s="3876"/>
      <c r="BS369" s="3874"/>
      <c r="BT369" s="3875"/>
      <c r="BU369" s="3875"/>
      <c r="BV369" s="3875"/>
      <c r="BW369" s="3875"/>
      <c r="BX369" s="3875"/>
      <c r="BY369" s="3876"/>
      <c r="BZ369" s="3874"/>
      <c r="CA369" s="3875"/>
      <c r="CB369" s="3875"/>
      <c r="CC369" s="3875"/>
      <c r="CD369" s="3875"/>
      <c r="CE369" s="3875"/>
      <c r="CF369" s="3876"/>
      <c r="CG369" s="3874"/>
      <c r="CH369" s="3875"/>
      <c r="CI369" s="3875"/>
      <c r="CJ369" s="3875"/>
      <c r="CK369" s="3875"/>
      <c r="CL369" s="3875"/>
      <c r="CM369" s="3876"/>
      <c r="CN369" s="3874"/>
      <c r="CO369" s="3875"/>
      <c r="CP369" s="3875"/>
      <c r="CQ369" s="3875"/>
      <c r="CR369" s="3875"/>
      <c r="CS369" s="3875"/>
      <c r="CT369" s="3876"/>
      <c r="CU369" s="3876"/>
      <c r="CV369" s="4195" t="s">
        <v>614</v>
      </c>
      <c r="CW369" s="4093"/>
      <c r="CX369" s="4196"/>
      <c r="CY369" s="4196" t="str">
        <f>IF(T369="","",T369)</f>
        <v>Группа потребителей</v>
      </c>
      <c r="CZ369" s="4196"/>
      <c r="DA369" s="4196"/>
      <c r="DB369" s="3858">
        <v>0</v>
      </c>
    </row>
    <row s="11831" customFormat="1" customHeight="1" ht="23.25">
      <c r="A370" s="4183"/>
      <c r="B370" s="4183"/>
      <c r="C370" s="4183"/>
      <c r="D370" s="4183"/>
      <c r="E370" s="4184"/>
      <c r="F370" s="4184"/>
      <c r="G370" s="4184">
        <v>1</v>
      </c>
      <c r="H370" s="4184"/>
      <c r="I370" s="4185"/>
      <c r="J370" s="4185"/>
      <c r="K370" s="4186" t="str">
        <f>J369&amp;".1"</f>
        <v>1.17.2.1.1.1</v>
      </c>
      <c r="L370" s="4187"/>
      <c r="M370" s="4188"/>
      <c r="N370" s="4188"/>
      <c r="O370" s="4188"/>
      <c r="P370" s="4189"/>
      <c r="Q370" s="4189"/>
      <c r="R370" s="4191">
        <v>1</v>
      </c>
      <c r="S370" s="4192" t="str">
        <f>$K370</f>
        <v>1.17.2.1.1.1</v>
      </c>
      <c r="T370" s="4198"/>
      <c r="U370" s="4194"/>
      <c r="V370" s="3878"/>
      <c r="W370" s="3878"/>
      <c r="X370" s="3879"/>
      <c r="Y370" s="3880"/>
      <c r="Z370" s="3881" t="s">
        <v>65</v>
      </c>
      <c r="AA370" s="3880"/>
      <c r="AB370" s="3881" t="s">
        <v>65</v>
      </c>
      <c r="AC370" s="3878">
        <v>29.81</v>
      </c>
      <c r="AD370" s="3878"/>
      <c r="AE370" s="3879"/>
      <c r="AF370" s="3880">
        <v>45292</v>
      </c>
      <c r="AG370" s="3881" t="s">
        <v>65</v>
      </c>
      <c r="AH370" s="4116">
        <v>45473</v>
      </c>
      <c r="AI370" s="3881" t="s">
        <v>65</v>
      </c>
      <c r="AJ370" s="3878">
        <v>34.1</v>
      </c>
      <c r="AK370" s="3878"/>
      <c r="AL370" s="3879"/>
      <c r="AM370" s="3880">
        <v>45474</v>
      </c>
      <c r="AN370" s="3881" t="s">
        <v>65</v>
      </c>
      <c r="AO370" s="3880">
        <v>45657</v>
      </c>
      <c r="AP370" s="3881" t="s">
        <v>65</v>
      </c>
      <c r="AQ370" s="3878">
        <v>34.1</v>
      </c>
      <c r="AR370" s="3878"/>
      <c r="AS370" s="3879"/>
      <c r="AT370" s="3880">
        <v>45658</v>
      </c>
      <c r="AU370" s="3881" t="s">
        <v>65</v>
      </c>
      <c r="AV370" s="3880">
        <v>45838</v>
      </c>
      <c r="AW370" s="3881" t="s">
        <v>65</v>
      </c>
      <c r="AX370" s="3878">
        <v>38.87</v>
      </c>
      <c r="AY370" s="3878"/>
      <c r="AZ370" s="3879"/>
      <c r="BA370" s="3880">
        <v>45839</v>
      </c>
      <c r="BB370" s="3881" t="s">
        <v>65</v>
      </c>
      <c r="BC370" s="3880">
        <v>46022</v>
      </c>
      <c r="BD370" s="3881" t="s">
        <v>65</v>
      </c>
      <c r="BE370" s="3878">
        <v>36.04</v>
      </c>
      <c r="BF370" s="3878"/>
      <c r="BG370" s="3879"/>
      <c r="BH370" s="3880">
        <v>46023</v>
      </c>
      <c r="BI370" s="3881" t="s">
        <v>65</v>
      </c>
      <c r="BJ370" s="3880">
        <v>46203</v>
      </c>
      <c r="BK370" s="3881" t="s">
        <v>65</v>
      </c>
      <c r="BL370" s="3878">
        <v>37.48</v>
      </c>
      <c r="BM370" s="3878"/>
      <c r="BN370" s="3879"/>
      <c r="BO370" s="3880">
        <v>46204</v>
      </c>
      <c r="BP370" s="3881" t="s">
        <v>65</v>
      </c>
      <c r="BQ370" s="3880">
        <v>46387</v>
      </c>
      <c r="BR370" s="3881" t="s">
        <v>65</v>
      </c>
      <c r="BS370" s="3878">
        <v>37.48</v>
      </c>
      <c r="BT370" s="3878"/>
      <c r="BU370" s="3879"/>
      <c r="BV370" s="3880">
        <v>46388</v>
      </c>
      <c r="BW370" s="3881" t="s">
        <v>65</v>
      </c>
      <c r="BX370" s="3880">
        <v>46568</v>
      </c>
      <c r="BY370" s="3881" t="s">
        <v>65</v>
      </c>
      <c r="BZ370" s="3878">
        <v>38.98</v>
      </c>
      <c r="CA370" s="3878"/>
      <c r="CB370" s="3879"/>
      <c r="CC370" s="3880">
        <v>46569</v>
      </c>
      <c r="CD370" s="3881" t="s">
        <v>65</v>
      </c>
      <c r="CE370" s="3880">
        <v>46752</v>
      </c>
      <c r="CF370" s="3881" t="s">
        <v>65</v>
      </c>
      <c r="CG370" s="3878">
        <v>38.98</v>
      </c>
      <c r="CH370" s="3878"/>
      <c r="CI370" s="3879"/>
      <c r="CJ370" s="3880">
        <v>46753</v>
      </c>
      <c r="CK370" s="3881" t="s">
        <v>65</v>
      </c>
      <c r="CL370" s="3880">
        <v>46934</v>
      </c>
      <c r="CM370" s="3881" t="s">
        <v>65</v>
      </c>
      <c r="CN370" s="3878">
        <v>40.54</v>
      </c>
      <c r="CO370" s="3878"/>
      <c r="CP370" s="3879"/>
      <c r="CQ370" s="3880">
        <v>46935</v>
      </c>
      <c r="CR370" s="3881" t="s">
        <v>65</v>
      </c>
      <c r="CS370" s="3880">
        <v>47118</v>
      </c>
      <c r="CT370" s="3881" t="s">
        <v>65</v>
      </c>
      <c r="CU370" s="4199"/>
      <c r="CV370"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70" s="4093">
        <f>STRCHECKDATE(V371:CU371)</f>
      </c>
      <c r="CX370" s="4196"/>
      <c r="CY370" s="4196" t="str">
        <f>IF(T370="","",T370)</f>
        <v/>
      </c>
      <c r="CZ370" s="4196"/>
      <c r="DA370" s="4196"/>
      <c r="DB370" s="3858">
        <v>0</v>
      </c>
    </row>
    <row s="11832" customFormat="1" customHeight="1" ht="14.25">
      <c r="A371" s="4183"/>
      <c r="B371" s="4183"/>
      <c r="C371" s="4183"/>
      <c r="D371" s="4183"/>
      <c r="E371" s="4184"/>
      <c r="F371" s="4184"/>
      <c r="G371" s="4184">
        <v>1</v>
      </c>
      <c r="H371" s="4184"/>
      <c r="I371" s="4185"/>
      <c r="J371" s="4185"/>
      <c r="K371" s="4186"/>
      <c r="L371" s="4187"/>
      <c r="M371" s="4188"/>
      <c r="N371" s="4188"/>
      <c r="O371" s="4188"/>
      <c r="P371" s="4189"/>
      <c r="Q371" s="4189"/>
      <c r="R371" s="4191"/>
      <c r="S371" s="4202"/>
      <c r="T371" s="4194"/>
      <c r="U371" s="4194"/>
      <c r="V371" s="3885"/>
      <c r="W371" s="3885"/>
      <c r="X371" s="3886" t="str">
        <f>Y370&amp;"-"&amp;AA370</f>
        <v>-</v>
      </c>
      <c r="Y371" s="3887"/>
      <c r="Z371" s="3881"/>
      <c r="AA371" s="3887"/>
      <c r="AB371" s="3881"/>
      <c r="AC371" s="3885"/>
      <c r="AD371" s="3885"/>
      <c r="AE371" s="3886" t="str">
        <f>AF370&amp;"-"&amp;AH370</f>
        <v>45292-45473</v>
      </c>
      <c r="AF371" s="3887"/>
      <c r="AG371" s="3881"/>
      <c r="AH371" s="4118"/>
      <c r="AI371" s="3881"/>
      <c r="AJ371" s="3885"/>
      <c r="AK371" s="3885"/>
      <c r="AL371" s="3886" t="str">
        <f>AM370&amp;"-"&amp;AO370</f>
        <v>45474-45657</v>
      </c>
      <c r="AM371" s="3887"/>
      <c r="AN371" s="3881"/>
      <c r="AO371" s="3887"/>
      <c r="AP371" s="3881"/>
      <c r="AQ371" s="3885"/>
      <c r="AR371" s="3885"/>
      <c r="AS371" s="3886" t="str">
        <f>AT370&amp;"-"&amp;AV370</f>
        <v>45658-45838</v>
      </c>
      <c r="AT371" s="3887"/>
      <c r="AU371" s="3881"/>
      <c r="AV371" s="3887"/>
      <c r="AW371" s="3881"/>
      <c r="AX371" s="3885"/>
      <c r="AY371" s="3885"/>
      <c r="AZ371" s="3886" t="str">
        <f>BA370&amp;"-"&amp;BC370</f>
        <v>45839-46022</v>
      </c>
      <c r="BA371" s="3887"/>
      <c r="BB371" s="3881"/>
      <c r="BC371" s="3887"/>
      <c r="BD371" s="3881"/>
      <c r="BE371" s="3885"/>
      <c r="BF371" s="3885"/>
      <c r="BG371" s="3886" t="str">
        <f>BH370&amp;"-"&amp;BJ370</f>
        <v>46023-46203</v>
      </c>
      <c r="BH371" s="3887"/>
      <c r="BI371" s="3881"/>
      <c r="BJ371" s="3887"/>
      <c r="BK371" s="3881"/>
      <c r="BL371" s="3885"/>
      <c r="BM371" s="3885"/>
      <c r="BN371" s="3886" t="str">
        <f>BO370&amp;"-"&amp;BQ370</f>
        <v>46204-46387</v>
      </c>
      <c r="BO371" s="3887"/>
      <c r="BP371" s="3881"/>
      <c r="BQ371" s="3887"/>
      <c r="BR371" s="3881"/>
      <c r="BS371" s="3885"/>
      <c r="BT371" s="3885"/>
      <c r="BU371" s="3886" t="str">
        <f>BV370&amp;"-"&amp;BX370</f>
        <v>46388-46568</v>
      </c>
      <c r="BV371" s="3887"/>
      <c r="BW371" s="3881"/>
      <c r="BX371" s="3887"/>
      <c r="BY371" s="3881"/>
      <c r="BZ371" s="3885"/>
      <c r="CA371" s="3885"/>
      <c r="CB371" s="3886" t="str">
        <f>CC370&amp;"-"&amp;CE370</f>
        <v>46569-46752</v>
      </c>
      <c r="CC371" s="3887"/>
      <c r="CD371" s="3881"/>
      <c r="CE371" s="3887"/>
      <c r="CF371" s="3881"/>
      <c r="CG371" s="3885"/>
      <c r="CH371" s="3885"/>
      <c r="CI371" s="3886" t="str">
        <f>CJ370&amp;"-"&amp;CL370</f>
        <v>46753-46934</v>
      </c>
      <c r="CJ371" s="3887"/>
      <c r="CK371" s="3881"/>
      <c r="CL371" s="3887"/>
      <c r="CM371" s="3881"/>
      <c r="CN371" s="3885"/>
      <c r="CO371" s="3885"/>
      <c r="CP371" s="3886" t="str">
        <f>CQ370&amp;"-"&amp;CS370</f>
        <v>46935-47118</v>
      </c>
      <c r="CQ371" s="3887"/>
      <c r="CR371" s="3881"/>
      <c r="CS371" s="3887"/>
      <c r="CT371" s="3881"/>
      <c r="CU371" s="4203"/>
      <c r="CV371" s="4200"/>
      <c r="CW371" s="4093"/>
      <c r="CX371" s="4196"/>
      <c r="CY371" s="4196" t="str">
        <f>IF(T371="","",T371)</f>
        <v/>
      </c>
      <c r="CZ371" s="4196"/>
      <c r="DA371" s="4196"/>
      <c r="DB371" s="3858">
        <v>0</v>
      </c>
    </row>
    <row s="11833" customFormat="1" customHeight="1" ht="21">
      <c r="A372" s="4183"/>
      <c r="B372" s="4183"/>
      <c r="C372" s="4183"/>
      <c r="D372" s="4183"/>
      <c r="E372" s="4184"/>
      <c r="F372" s="4184"/>
      <c r="G372" s="4184">
        <v>1</v>
      </c>
      <c r="H372" s="4184"/>
      <c r="I372" s="4185"/>
      <c r="J372" s="4186"/>
      <c r="K372" s="4183"/>
      <c r="L372" s="4187"/>
      <c r="M372" s="4188"/>
      <c r="N372" s="4188"/>
      <c r="O372" s="4188"/>
      <c r="P372" s="4189"/>
      <c r="Q372" s="4189"/>
      <c r="R372" s="4205"/>
      <c r="S372" s="11834"/>
      <c r="T372" s="11835" t="s">
        <v>615</v>
      </c>
      <c r="U372" s="11836"/>
      <c r="V372" s="11837"/>
      <c r="W372" s="11838"/>
      <c r="X372" s="11839"/>
      <c r="Y372" s="11840"/>
      <c r="Z372" s="11841"/>
      <c r="AA372" s="11842"/>
      <c r="AB372" s="11843"/>
      <c r="AC372" s="11844"/>
      <c r="AD372" s="11845"/>
      <c r="AE372" s="11846"/>
      <c r="AF372" s="11847"/>
      <c r="AG372" s="11848"/>
      <c r="AH372" s="11849"/>
      <c r="AI372" s="11850"/>
      <c r="AJ372" s="11851"/>
      <c r="AK372" s="11852"/>
      <c r="AL372" s="11853"/>
      <c r="AM372" s="11854"/>
      <c r="AN372" s="11855"/>
      <c r="AO372" s="11856"/>
      <c r="AP372" s="11857"/>
      <c r="AQ372" s="11858"/>
      <c r="AR372" s="11859"/>
      <c r="AS372" s="11860"/>
      <c r="AT372" s="11861"/>
      <c r="AU372" s="11862"/>
      <c r="AV372" s="11863"/>
      <c r="AW372" s="11864"/>
      <c r="AX372" s="11865"/>
      <c r="AY372" s="11866"/>
      <c r="AZ372" s="11867"/>
      <c r="BA372" s="11868"/>
      <c r="BB372" s="11869"/>
      <c r="BC372" s="11870"/>
      <c r="BD372" s="11871"/>
      <c r="BE372" s="11872"/>
      <c r="BF372" s="11873"/>
      <c r="BG372" s="11874"/>
      <c r="BH372" s="11875"/>
      <c r="BI372" s="11876"/>
      <c r="BJ372" s="11877"/>
      <c r="BK372" s="11878"/>
      <c r="BL372" s="11879"/>
      <c r="BM372" s="11880"/>
      <c r="BN372" s="11881"/>
      <c r="BO372" s="11882"/>
      <c r="BP372" s="11883"/>
      <c r="BQ372" s="11884"/>
      <c r="BR372" s="11885"/>
      <c r="BS372" s="11886"/>
      <c r="BT372" s="11887"/>
      <c r="BU372" s="11888"/>
      <c r="BV372" s="11889"/>
      <c r="BW372" s="11890"/>
      <c r="BX372" s="11891"/>
      <c r="BY372" s="11892"/>
      <c r="BZ372" s="11893"/>
      <c r="CA372" s="11894"/>
      <c r="CB372" s="11895"/>
      <c r="CC372" s="11896"/>
      <c r="CD372" s="11897"/>
      <c r="CE372" s="11898"/>
      <c r="CF372" s="11899"/>
      <c r="CG372" s="11900"/>
      <c r="CH372" s="11901"/>
      <c r="CI372" s="11902"/>
      <c r="CJ372" s="11903"/>
      <c r="CK372" s="11904"/>
      <c r="CL372" s="11905"/>
      <c r="CM372" s="11906"/>
      <c r="CN372" s="11907"/>
      <c r="CO372" s="11908"/>
      <c r="CP372" s="11909"/>
      <c r="CQ372" s="11910"/>
      <c r="CR372" s="11911"/>
      <c r="CS372" s="11912"/>
      <c r="CT372" s="11913"/>
      <c r="CU372" s="11914"/>
      <c r="CV372" s="4287" t="s">
        <v>616</v>
      </c>
      <c r="CW372" s="4093"/>
      <c r="CX372" s="4196"/>
      <c r="CY372" s="4196" t="str">
        <f>IF(T372="","",T372)</f>
        <v>Добавить значение признака дифференциации</v>
      </c>
      <c r="CZ372" s="4196"/>
      <c r="DA372" s="4196"/>
      <c r="DB372" s="3858">
        <v>0</v>
      </c>
    </row>
    <row s="11915" customFormat="1" customHeight="1" ht="23.25">
      <c r="A373" s="4183"/>
      <c r="B373" s="4183"/>
      <c r="C373" s="4183"/>
      <c r="D373" s="4183"/>
      <c r="E373" s="4184"/>
      <c r="F373" s="4184"/>
      <c r="G373" s="4184"/>
      <c r="H373" s="4184"/>
      <c r="I373" s="4185"/>
      <c r="J373" s="4186" t="str">
        <f>I368&amp;".2"</f>
        <v>1.17.2.1.2</v>
      </c>
      <c r="K373" s="4183"/>
      <c r="L373" s="4187" t="s">
        <v>538</v>
      </c>
      <c r="M373" s="4188"/>
      <c r="N373" s="4188"/>
      <c r="O373" s="4188"/>
      <c r="P373" s="4189"/>
      <c r="Q373" s="4190" t="s">
        <v>109</v>
      </c>
      <c r="R373" s="4191"/>
      <c r="S373" s="4192" t="str">
        <f>$J373</f>
        <v>1.17.2.1.2</v>
      </c>
      <c r="T373" s="4193" t="s">
        <v>539</v>
      </c>
      <c r="U373" s="4194"/>
      <c r="V373" s="3874"/>
      <c r="W373" s="3875"/>
      <c r="X373" s="3875"/>
      <c r="Y373" s="3875"/>
      <c r="Z373" s="3875"/>
      <c r="AA373" s="3875"/>
      <c r="AB373" s="3876"/>
      <c r="AC373" s="3874" t="s">
        <v>626</v>
      </c>
      <c r="AD373" s="3875"/>
      <c r="AE373" s="3875"/>
      <c r="AF373" s="3875"/>
      <c r="AG373" s="3875"/>
      <c r="AH373" s="3875"/>
      <c r="AI373" s="3875"/>
      <c r="AJ373" s="3874"/>
      <c r="AK373" s="3875"/>
      <c r="AL373" s="3875"/>
      <c r="AM373" s="3875"/>
      <c r="AN373" s="3875"/>
      <c r="AO373" s="3875"/>
      <c r="AP373" s="3876"/>
      <c r="AQ373" s="3874"/>
      <c r="AR373" s="3875"/>
      <c r="AS373" s="3875"/>
      <c r="AT373" s="3875"/>
      <c r="AU373" s="3875"/>
      <c r="AV373" s="3875"/>
      <c r="AW373" s="3876"/>
      <c r="AX373" s="3874"/>
      <c r="AY373" s="3875"/>
      <c r="AZ373" s="3875"/>
      <c r="BA373" s="3875"/>
      <c r="BB373" s="3875"/>
      <c r="BC373" s="3875"/>
      <c r="BD373" s="3876"/>
      <c r="BE373" s="3874"/>
      <c r="BF373" s="3875"/>
      <c r="BG373" s="3875"/>
      <c r="BH373" s="3875"/>
      <c r="BI373" s="3875"/>
      <c r="BJ373" s="3875"/>
      <c r="BK373" s="3876"/>
      <c r="BL373" s="3874"/>
      <c r="BM373" s="3875"/>
      <c r="BN373" s="3875"/>
      <c r="BO373" s="3875"/>
      <c r="BP373" s="3875"/>
      <c r="BQ373" s="3875"/>
      <c r="BR373" s="3876"/>
      <c r="BS373" s="3874"/>
      <c r="BT373" s="3875"/>
      <c r="BU373" s="3875"/>
      <c r="BV373" s="3875"/>
      <c r="BW373" s="3875"/>
      <c r="BX373" s="3875"/>
      <c r="BY373" s="3876"/>
      <c r="BZ373" s="3874"/>
      <c r="CA373" s="3875"/>
      <c r="CB373" s="3875"/>
      <c r="CC373" s="3875"/>
      <c r="CD373" s="3875"/>
      <c r="CE373" s="3875"/>
      <c r="CF373" s="3876"/>
      <c r="CG373" s="3874"/>
      <c r="CH373" s="3875"/>
      <c r="CI373" s="3875"/>
      <c r="CJ373" s="3875"/>
      <c r="CK373" s="3875"/>
      <c r="CL373" s="3875"/>
      <c r="CM373" s="3876"/>
      <c r="CN373" s="3874"/>
      <c r="CO373" s="3875"/>
      <c r="CP373" s="3875"/>
      <c r="CQ373" s="3875"/>
      <c r="CR373" s="3875"/>
      <c r="CS373" s="3875"/>
      <c r="CT373" s="3876"/>
      <c r="CU373" s="3876"/>
      <c r="CV373" s="4195" t="s">
        <v>614</v>
      </c>
      <c r="CW373" s="4093"/>
      <c r="CX373" s="4196"/>
      <c r="CY373" s="4196" t="str">
        <f>IF(T373="","",T373)</f>
        <v>Группа потребителей</v>
      </c>
      <c r="CZ373" s="4196"/>
      <c r="DA373" s="4196"/>
      <c r="DB373" s="3858">
        <v>0</v>
      </c>
    </row>
    <row s="11916" customFormat="1" customHeight="1" ht="23.25">
      <c r="A374" s="4183"/>
      <c r="B374" s="4183"/>
      <c r="C374" s="4183"/>
      <c r="D374" s="4183"/>
      <c r="E374" s="4184"/>
      <c r="F374" s="4184"/>
      <c r="G374" s="4184"/>
      <c r="H374" s="4184"/>
      <c r="I374" s="4185"/>
      <c r="J374" s="4185" t="str">
        <f>I368&amp;".1"</f>
        <v>1.17.2.1.1</v>
      </c>
      <c r="K374" s="4186" t="str">
        <f>J373&amp;".1"</f>
        <v>1.17.2.1.2.1</v>
      </c>
      <c r="L374" s="4187"/>
      <c r="M374" s="4188"/>
      <c r="N374" s="4188"/>
      <c r="O374" s="4188"/>
      <c r="P374" s="4189"/>
      <c r="Q374" s="4189"/>
      <c r="R374" s="4191">
        <v>1</v>
      </c>
      <c r="S374" s="4192" t="str">
        <f>$K374</f>
        <v>1.17.2.1.2.1</v>
      </c>
      <c r="T374" s="4198"/>
      <c r="U374" s="4194"/>
      <c r="V374" s="3878"/>
      <c r="W374" s="3878"/>
      <c r="X374" s="3879"/>
      <c r="Y374" s="3880"/>
      <c r="Z374" s="3881" t="s">
        <v>65</v>
      </c>
      <c r="AA374" s="3880"/>
      <c r="AB374" s="3881" t="s">
        <v>65</v>
      </c>
      <c r="AC374" s="3878">
        <v>32.19</v>
      </c>
      <c r="AD374" s="3878"/>
      <c r="AE374" s="3879"/>
      <c r="AF374" s="3880">
        <v>45292</v>
      </c>
      <c r="AG374" s="3881" t="s">
        <v>65</v>
      </c>
      <c r="AH374" s="4116">
        <v>45473</v>
      </c>
      <c r="AI374" s="3881" t="s">
        <v>65</v>
      </c>
      <c r="AJ374" s="3878">
        <v>45.28</v>
      </c>
      <c r="AK374" s="3878"/>
      <c r="AL374" s="3879"/>
      <c r="AM374" s="3880">
        <v>45474</v>
      </c>
      <c r="AN374" s="3881" t="s">
        <v>65</v>
      </c>
      <c r="AO374" s="3880">
        <v>45657</v>
      </c>
      <c r="AP374" s="3881" t="s">
        <v>65</v>
      </c>
      <c r="AQ374" s="3878">
        <v>45.28</v>
      </c>
      <c r="AR374" s="3878"/>
      <c r="AS374" s="3879"/>
      <c r="AT374" s="3880">
        <v>45658</v>
      </c>
      <c r="AU374" s="3881" t="s">
        <v>65</v>
      </c>
      <c r="AV374" s="3880">
        <v>45838</v>
      </c>
      <c r="AW374" s="3881" t="s">
        <v>65</v>
      </c>
      <c r="AX374" s="3878">
        <v>47.23</v>
      </c>
      <c r="AY374" s="3878"/>
      <c r="AZ374" s="3879"/>
      <c r="BA374" s="3880">
        <v>45839</v>
      </c>
      <c r="BB374" s="3881" t="s">
        <v>65</v>
      </c>
      <c r="BC374" s="3880">
        <v>46022</v>
      </c>
      <c r="BD374" s="3881" t="s">
        <v>65</v>
      </c>
      <c r="BE374" s="3878">
        <v>39.66</v>
      </c>
      <c r="BF374" s="3878"/>
      <c r="BG374" s="3879"/>
      <c r="BH374" s="3880">
        <v>46023</v>
      </c>
      <c r="BI374" s="3881" t="s">
        <v>65</v>
      </c>
      <c r="BJ374" s="3880">
        <v>46203</v>
      </c>
      <c r="BK374" s="3881" t="s">
        <v>65</v>
      </c>
      <c r="BL374" s="3878">
        <v>46</v>
      </c>
      <c r="BM374" s="3878"/>
      <c r="BN374" s="3879"/>
      <c r="BO374" s="3880">
        <v>46204</v>
      </c>
      <c r="BP374" s="3881" t="s">
        <v>65</v>
      </c>
      <c r="BQ374" s="3880">
        <v>46387</v>
      </c>
      <c r="BR374" s="3881" t="s">
        <v>65</v>
      </c>
      <c r="BS374" s="3878">
        <v>46</v>
      </c>
      <c r="BT374" s="3878"/>
      <c r="BU374" s="3879"/>
      <c r="BV374" s="3880">
        <v>46388</v>
      </c>
      <c r="BW374" s="3881" t="s">
        <v>65</v>
      </c>
      <c r="BX374" s="3880">
        <v>46568</v>
      </c>
      <c r="BY374" s="3881" t="s">
        <v>65</v>
      </c>
      <c r="BZ374" s="3878">
        <v>50.94</v>
      </c>
      <c r="CA374" s="3878"/>
      <c r="CB374" s="3879"/>
      <c r="CC374" s="3880">
        <v>46569</v>
      </c>
      <c r="CD374" s="3881" t="s">
        <v>65</v>
      </c>
      <c r="CE374" s="3880">
        <v>46752</v>
      </c>
      <c r="CF374" s="3881" t="s">
        <v>65</v>
      </c>
      <c r="CG374" s="3878">
        <v>50.94</v>
      </c>
      <c r="CH374" s="3878"/>
      <c r="CI374" s="3879"/>
      <c r="CJ374" s="3880">
        <v>46753</v>
      </c>
      <c r="CK374" s="3881" t="s">
        <v>65</v>
      </c>
      <c r="CL374" s="3880">
        <v>46934</v>
      </c>
      <c r="CM374" s="3881" t="s">
        <v>65</v>
      </c>
      <c r="CN374" s="3878">
        <v>60.03</v>
      </c>
      <c r="CO374" s="3878"/>
      <c r="CP374" s="3879"/>
      <c r="CQ374" s="3880">
        <v>46935</v>
      </c>
      <c r="CR374" s="3881" t="s">
        <v>65</v>
      </c>
      <c r="CS374" s="3880">
        <v>47118</v>
      </c>
      <c r="CT374" s="3881" t="s">
        <v>65</v>
      </c>
      <c r="CU374" s="4199"/>
      <c r="CV374"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74" s="4093">
        <f>STRCHECKDATE(V375:CU375)</f>
      </c>
      <c r="CX374" s="4196"/>
      <c r="CY374" s="4196" t="str">
        <f>IF(T374="","",T374)</f>
        <v/>
      </c>
      <c r="CZ374" s="4196"/>
      <c r="DA374" s="4196"/>
      <c r="DB374" s="3858">
        <v>0</v>
      </c>
    </row>
    <row s="11917" customFormat="1" customHeight="1" ht="14.25">
      <c r="A375" s="4183"/>
      <c r="B375" s="4183"/>
      <c r="C375" s="4183"/>
      <c r="D375" s="4183"/>
      <c r="E375" s="4184"/>
      <c r="F375" s="4184"/>
      <c r="G375" s="4184"/>
      <c r="H375" s="4184"/>
      <c r="I375" s="4185"/>
      <c r="J375" s="4185" t="str">
        <f>I368&amp;".1"</f>
        <v>1.17.2.1.1</v>
      </c>
      <c r="K375" s="4186"/>
      <c r="L375" s="4187"/>
      <c r="M375" s="4188"/>
      <c r="N375" s="4188"/>
      <c r="O375" s="4188"/>
      <c r="P375" s="4189"/>
      <c r="Q375" s="4189"/>
      <c r="R375" s="4191"/>
      <c r="S375" s="4202"/>
      <c r="T375" s="4194"/>
      <c r="U375" s="4194"/>
      <c r="V375" s="3885"/>
      <c r="W375" s="3885"/>
      <c r="X375" s="3886" t="str">
        <f>Y374&amp;"-"&amp;AA374</f>
        <v>-</v>
      </c>
      <c r="Y375" s="3887"/>
      <c r="Z375" s="3881"/>
      <c r="AA375" s="3887"/>
      <c r="AB375" s="3881"/>
      <c r="AC375" s="3885"/>
      <c r="AD375" s="3885"/>
      <c r="AE375" s="3886" t="str">
        <f>AF374&amp;"-"&amp;AH374</f>
        <v>45292-45473</v>
      </c>
      <c r="AF375" s="3887"/>
      <c r="AG375" s="3881"/>
      <c r="AH375" s="4118"/>
      <c r="AI375" s="3881"/>
      <c r="AJ375" s="3885"/>
      <c r="AK375" s="3885"/>
      <c r="AL375" s="3886" t="str">
        <f>AM374&amp;"-"&amp;AO374</f>
        <v>45474-45657</v>
      </c>
      <c r="AM375" s="3887"/>
      <c r="AN375" s="3881"/>
      <c r="AO375" s="3887"/>
      <c r="AP375" s="3881"/>
      <c r="AQ375" s="3885"/>
      <c r="AR375" s="3885"/>
      <c r="AS375" s="3886" t="str">
        <f>AT374&amp;"-"&amp;AV374</f>
        <v>45658-45838</v>
      </c>
      <c r="AT375" s="3887"/>
      <c r="AU375" s="3881"/>
      <c r="AV375" s="3887"/>
      <c r="AW375" s="3881"/>
      <c r="AX375" s="3885"/>
      <c r="AY375" s="3885"/>
      <c r="AZ375" s="3886" t="str">
        <f>BA374&amp;"-"&amp;BC374</f>
        <v>45839-46022</v>
      </c>
      <c r="BA375" s="3887"/>
      <c r="BB375" s="3881"/>
      <c r="BC375" s="3887"/>
      <c r="BD375" s="3881"/>
      <c r="BE375" s="3885"/>
      <c r="BF375" s="3885"/>
      <c r="BG375" s="3886" t="str">
        <f>BH374&amp;"-"&amp;BJ374</f>
        <v>46023-46203</v>
      </c>
      <c r="BH375" s="3887"/>
      <c r="BI375" s="3881"/>
      <c r="BJ375" s="3887"/>
      <c r="BK375" s="3881"/>
      <c r="BL375" s="3885"/>
      <c r="BM375" s="3885"/>
      <c r="BN375" s="3886" t="str">
        <f>BO374&amp;"-"&amp;BQ374</f>
        <v>46204-46387</v>
      </c>
      <c r="BO375" s="3887"/>
      <c r="BP375" s="3881"/>
      <c r="BQ375" s="3887"/>
      <c r="BR375" s="3881"/>
      <c r="BS375" s="3885"/>
      <c r="BT375" s="3885"/>
      <c r="BU375" s="3886" t="str">
        <f>BV374&amp;"-"&amp;BX374</f>
        <v>46388-46568</v>
      </c>
      <c r="BV375" s="3887"/>
      <c r="BW375" s="3881"/>
      <c r="BX375" s="3887"/>
      <c r="BY375" s="3881"/>
      <c r="BZ375" s="3885"/>
      <c r="CA375" s="3885"/>
      <c r="CB375" s="3886" t="str">
        <f>CC374&amp;"-"&amp;CE374</f>
        <v>46569-46752</v>
      </c>
      <c r="CC375" s="3887"/>
      <c r="CD375" s="3881"/>
      <c r="CE375" s="3887"/>
      <c r="CF375" s="3881"/>
      <c r="CG375" s="3885"/>
      <c r="CH375" s="3885"/>
      <c r="CI375" s="3886" t="str">
        <f>CJ374&amp;"-"&amp;CL374</f>
        <v>46753-46934</v>
      </c>
      <c r="CJ375" s="3887"/>
      <c r="CK375" s="3881"/>
      <c r="CL375" s="3887"/>
      <c r="CM375" s="3881"/>
      <c r="CN375" s="3885"/>
      <c r="CO375" s="3885"/>
      <c r="CP375" s="3886" t="str">
        <f>CQ374&amp;"-"&amp;CS374</f>
        <v>46935-47118</v>
      </c>
      <c r="CQ375" s="3887"/>
      <c r="CR375" s="3881"/>
      <c r="CS375" s="3887"/>
      <c r="CT375" s="3881"/>
      <c r="CU375" s="4203"/>
      <c r="CV375" s="4200"/>
      <c r="CW375" s="4093"/>
      <c r="CX375" s="4196"/>
      <c r="CY375" s="4196" t="str">
        <f>IF(T375="","",T375)</f>
        <v/>
      </c>
      <c r="CZ375" s="4196"/>
      <c r="DA375" s="4196"/>
      <c r="DB375" s="3858">
        <v>0</v>
      </c>
    </row>
    <row s="11918" customFormat="1" customHeight="1" ht="21">
      <c r="A376" s="4183"/>
      <c r="B376" s="4183"/>
      <c r="C376" s="4183"/>
      <c r="D376" s="4183"/>
      <c r="E376" s="4184"/>
      <c r="F376" s="4184"/>
      <c r="G376" s="4184"/>
      <c r="H376" s="4184"/>
      <c r="I376" s="4185"/>
      <c r="J376" s="4186" t="str">
        <f>I368&amp;".1"</f>
        <v>1.17.2.1.1</v>
      </c>
      <c r="K376" s="4183"/>
      <c r="L376" s="4187"/>
      <c r="M376" s="4188"/>
      <c r="N376" s="4188"/>
      <c r="O376" s="4188"/>
      <c r="P376" s="4189"/>
      <c r="Q376" s="4189"/>
      <c r="R376" s="4205"/>
      <c r="S376" s="11919"/>
      <c r="T376" s="11920" t="s">
        <v>615</v>
      </c>
      <c r="U376" s="11921"/>
      <c r="V376" s="11922"/>
      <c r="W376" s="11923"/>
      <c r="X376" s="11924"/>
      <c r="Y376" s="11925"/>
      <c r="Z376" s="11926"/>
      <c r="AA376" s="11927"/>
      <c r="AB376" s="11928"/>
      <c r="AC376" s="11929"/>
      <c r="AD376" s="11930"/>
      <c r="AE376" s="11931"/>
      <c r="AF376" s="11932"/>
      <c r="AG376" s="11933"/>
      <c r="AH376" s="11934"/>
      <c r="AI376" s="11935"/>
      <c r="AJ376" s="11936"/>
      <c r="AK376" s="11937"/>
      <c r="AL376" s="11938"/>
      <c r="AM376" s="11939"/>
      <c r="AN376" s="11940"/>
      <c r="AO376" s="11941"/>
      <c r="AP376" s="11942"/>
      <c r="AQ376" s="11943"/>
      <c r="AR376" s="11944"/>
      <c r="AS376" s="11945"/>
      <c r="AT376" s="11946"/>
      <c r="AU376" s="11947"/>
      <c r="AV376" s="11948"/>
      <c r="AW376" s="11949"/>
      <c r="AX376" s="11950"/>
      <c r="AY376" s="11951"/>
      <c r="AZ376" s="11952"/>
      <c r="BA376" s="11953"/>
      <c r="BB376" s="11954"/>
      <c r="BC376" s="11955"/>
      <c r="BD376" s="11956"/>
      <c r="BE376" s="11957"/>
      <c r="BF376" s="11958"/>
      <c r="BG376" s="11959"/>
      <c r="BH376" s="11960"/>
      <c r="BI376" s="11961"/>
      <c r="BJ376" s="11962"/>
      <c r="BK376" s="11963"/>
      <c r="BL376" s="11964"/>
      <c r="BM376" s="11965"/>
      <c r="BN376" s="11966"/>
      <c r="BO376" s="11967"/>
      <c r="BP376" s="11968"/>
      <c r="BQ376" s="11969"/>
      <c r="BR376" s="11970"/>
      <c r="BS376" s="11971"/>
      <c r="BT376" s="11972"/>
      <c r="BU376" s="11973"/>
      <c r="BV376" s="11974"/>
      <c r="BW376" s="11975"/>
      <c r="BX376" s="11976"/>
      <c r="BY376" s="11977"/>
      <c r="BZ376" s="11978"/>
      <c r="CA376" s="11979"/>
      <c r="CB376" s="11980"/>
      <c r="CC376" s="11981"/>
      <c r="CD376" s="11982"/>
      <c r="CE376" s="11983"/>
      <c r="CF376" s="11984"/>
      <c r="CG376" s="11985"/>
      <c r="CH376" s="11986"/>
      <c r="CI376" s="11987"/>
      <c r="CJ376" s="11988"/>
      <c r="CK376" s="11989"/>
      <c r="CL376" s="11990"/>
      <c r="CM376" s="11991"/>
      <c r="CN376" s="11992"/>
      <c r="CO376" s="11993"/>
      <c r="CP376" s="11994"/>
      <c r="CQ376" s="11995"/>
      <c r="CR376" s="11996"/>
      <c r="CS376" s="11997"/>
      <c r="CT376" s="11998"/>
      <c r="CU376" s="11999"/>
      <c r="CV376" s="4287" t="s">
        <v>616</v>
      </c>
      <c r="CW376" s="4093"/>
      <c r="CX376" s="4196"/>
      <c r="CY376" s="4196" t="str">
        <f>IF(T376="","",T376)</f>
        <v>Добавить значение признака дифференциации</v>
      </c>
      <c r="CZ376" s="4196"/>
      <c r="DA376" s="4196"/>
      <c r="DB376" s="3858">
        <v>0</v>
      </c>
    </row>
    <row s="12000" customFormat="1" customHeight="1" ht="23.25">
      <c r="A377" s="4183"/>
      <c r="B377" s="4183"/>
      <c r="C377" s="4183"/>
      <c r="D377" s="4183"/>
      <c r="E377" s="4184"/>
      <c r="F377" s="4184"/>
      <c r="G377" s="4184"/>
      <c r="H377" s="4184"/>
      <c r="I377" s="4185"/>
      <c r="J377" s="4186" t="str">
        <f>I368&amp;".3"</f>
        <v>1.17.2.1.3</v>
      </c>
      <c r="K377" s="4183"/>
      <c r="L377" s="4187" t="s">
        <v>538</v>
      </c>
      <c r="M377" s="4188"/>
      <c r="N377" s="4188"/>
      <c r="O377" s="4188"/>
      <c r="P377" s="4189"/>
      <c r="Q377" s="4190" t="s">
        <v>109</v>
      </c>
      <c r="R377" s="4191"/>
      <c r="S377" s="4192" t="str">
        <f>$J377</f>
        <v>1.17.2.1.3</v>
      </c>
      <c r="T377" s="4193" t="s">
        <v>539</v>
      </c>
      <c r="U377" s="4194"/>
      <c r="V377" s="3874"/>
      <c r="W377" s="3875"/>
      <c r="X377" s="3875"/>
      <c r="Y377" s="3875"/>
      <c r="Z377" s="3875"/>
      <c r="AA377" s="3875"/>
      <c r="AB377" s="3876"/>
      <c r="AC377" s="3874" t="s">
        <v>627</v>
      </c>
      <c r="AD377" s="3875"/>
      <c r="AE377" s="3875"/>
      <c r="AF377" s="3875"/>
      <c r="AG377" s="3875"/>
      <c r="AH377" s="3875"/>
      <c r="AI377" s="3875"/>
      <c r="AJ377" s="3874"/>
      <c r="AK377" s="3875"/>
      <c r="AL377" s="3875"/>
      <c r="AM377" s="3875"/>
      <c r="AN377" s="3875"/>
      <c r="AO377" s="3875"/>
      <c r="AP377" s="3876"/>
      <c r="AQ377" s="3874"/>
      <c r="AR377" s="3875"/>
      <c r="AS377" s="3875"/>
      <c r="AT377" s="3875"/>
      <c r="AU377" s="3875"/>
      <c r="AV377" s="3875"/>
      <c r="AW377" s="3876"/>
      <c r="AX377" s="3874"/>
      <c r="AY377" s="3875"/>
      <c r="AZ377" s="3875"/>
      <c r="BA377" s="3875"/>
      <c r="BB377" s="3875"/>
      <c r="BC377" s="3875"/>
      <c r="BD377" s="3876"/>
      <c r="BE377" s="3874"/>
      <c r="BF377" s="3875"/>
      <c r="BG377" s="3875"/>
      <c r="BH377" s="3875"/>
      <c r="BI377" s="3875"/>
      <c r="BJ377" s="3875"/>
      <c r="BK377" s="3876"/>
      <c r="BL377" s="3874"/>
      <c r="BM377" s="3875"/>
      <c r="BN377" s="3875"/>
      <c r="BO377" s="3875"/>
      <c r="BP377" s="3875"/>
      <c r="BQ377" s="3875"/>
      <c r="BR377" s="3876"/>
      <c r="BS377" s="3874"/>
      <c r="BT377" s="3875"/>
      <c r="BU377" s="3875"/>
      <c r="BV377" s="3875"/>
      <c r="BW377" s="3875"/>
      <c r="BX377" s="3875"/>
      <c r="BY377" s="3876"/>
      <c r="BZ377" s="3874"/>
      <c r="CA377" s="3875"/>
      <c r="CB377" s="3875"/>
      <c r="CC377" s="3875"/>
      <c r="CD377" s="3875"/>
      <c r="CE377" s="3875"/>
      <c r="CF377" s="3876"/>
      <c r="CG377" s="3874"/>
      <c r="CH377" s="3875"/>
      <c r="CI377" s="3875"/>
      <c r="CJ377" s="3875"/>
      <c r="CK377" s="3875"/>
      <c r="CL377" s="3875"/>
      <c r="CM377" s="3876"/>
      <c r="CN377" s="3874"/>
      <c r="CO377" s="3875"/>
      <c r="CP377" s="3875"/>
      <c r="CQ377" s="3875"/>
      <c r="CR377" s="3875"/>
      <c r="CS377" s="3875"/>
      <c r="CT377" s="3876"/>
      <c r="CU377" s="3876"/>
      <c r="CV377" s="4195" t="s">
        <v>614</v>
      </c>
      <c r="CW377" s="4093"/>
      <c r="CX377" s="4196"/>
      <c r="CY377" s="4196" t="str">
        <f>IF(T377="","",T377)</f>
        <v>Группа потребителей</v>
      </c>
      <c r="CZ377" s="4196"/>
      <c r="DA377" s="4196"/>
      <c r="DB377" s="3858">
        <v>0</v>
      </c>
    </row>
    <row s="12001" customFormat="1" customHeight="1" ht="23.25">
      <c r="A378" s="4183"/>
      <c r="B378" s="4183"/>
      <c r="C378" s="4183"/>
      <c r="D378" s="4183"/>
      <c r="E378" s="4184"/>
      <c r="F378" s="4184"/>
      <c r="G378" s="4184"/>
      <c r="H378" s="4184"/>
      <c r="I378" s="4185"/>
      <c r="J378" s="4185" t="str">
        <f>I368&amp;".2"</f>
        <v>1.17.2.1.2</v>
      </c>
      <c r="K378" s="4186" t="str">
        <f>J377&amp;".1"</f>
        <v>1.17.2.1.3.1</v>
      </c>
      <c r="L378" s="4187"/>
      <c r="M378" s="4188"/>
      <c r="N378" s="4188"/>
      <c r="O378" s="4188"/>
      <c r="P378" s="4189"/>
      <c r="Q378" s="4189"/>
      <c r="R378" s="4191">
        <v>1</v>
      </c>
      <c r="S378" s="4192" t="str">
        <f>$K378</f>
        <v>1.17.2.1.3.1</v>
      </c>
      <c r="T378" s="4198"/>
      <c r="U378" s="4194"/>
      <c r="V378" s="3878"/>
      <c r="W378" s="3878"/>
      <c r="X378" s="3879"/>
      <c r="Y378" s="3880"/>
      <c r="Z378" s="3881" t="s">
        <v>65</v>
      </c>
      <c r="AA378" s="3880"/>
      <c r="AB378" s="3881" t="s">
        <v>65</v>
      </c>
      <c r="AC378" s="3878">
        <v>32.19</v>
      </c>
      <c r="AD378" s="3878"/>
      <c r="AE378" s="3879"/>
      <c r="AF378" s="3880">
        <v>45292</v>
      </c>
      <c r="AG378" s="3881" t="s">
        <v>65</v>
      </c>
      <c r="AH378" s="4116">
        <v>45473</v>
      </c>
      <c r="AI378" s="3881" t="s">
        <v>65</v>
      </c>
      <c r="AJ378" s="3878">
        <v>45.28</v>
      </c>
      <c r="AK378" s="3878"/>
      <c r="AL378" s="3879"/>
      <c r="AM378" s="3880">
        <v>45474</v>
      </c>
      <c r="AN378" s="3881" t="s">
        <v>65</v>
      </c>
      <c r="AO378" s="3880">
        <v>45657</v>
      </c>
      <c r="AP378" s="3881" t="s">
        <v>65</v>
      </c>
      <c r="AQ378" s="3878">
        <v>45.28</v>
      </c>
      <c r="AR378" s="3878"/>
      <c r="AS378" s="3879"/>
      <c r="AT378" s="3880">
        <v>45658</v>
      </c>
      <c r="AU378" s="3881" t="s">
        <v>65</v>
      </c>
      <c r="AV378" s="3880">
        <v>45838</v>
      </c>
      <c r="AW378" s="3881" t="s">
        <v>65</v>
      </c>
      <c r="AX378" s="3878">
        <v>47.23</v>
      </c>
      <c r="AY378" s="3878"/>
      <c r="AZ378" s="3879"/>
      <c r="BA378" s="3880">
        <v>45839</v>
      </c>
      <c r="BB378" s="3881" t="s">
        <v>65</v>
      </c>
      <c r="BC378" s="3880">
        <v>46022</v>
      </c>
      <c r="BD378" s="3881" t="s">
        <v>65</v>
      </c>
      <c r="BE378" s="3878">
        <v>39.66</v>
      </c>
      <c r="BF378" s="3878"/>
      <c r="BG378" s="3879"/>
      <c r="BH378" s="3880">
        <v>46023</v>
      </c>
      <c r="BI378" s="3881" t="s">
        <v>65</v>
      </c>
      <c r="BJ378" s="3880">
        <v>46203</v>
      </c>
      <c r="BK378" s="3881" t="s">
        <v>65</v>
      </c>
      <c r="BL378" s="3878">
        <v>46</v>
      </c>
      <c r="BM378" s="3878"/>
      <c r="BN378" s="3879"/>
      <c r="BO378" s="3880">
        <v>46204</v>
      </c>
      <c r="BP378" s="3881" t="s">
        <v>65</v>
      </c>
      <c r="BQ378" s="3880">
        <v>46387</v>
      </c>
      <c r="BR378" s="3881" t="s">
        <v>65</v>
      </c>
      <c r="BS378" s="3878">
        <v>46</v>
      </c>
      <c r="BT378" s="3878"/>
      <c r="BU378" s="3879"/>
      <c r="BV378" s="3880">
        <v>46388</v>
      </c>
      <c r="BW378" s="3881" t="s">
        <v>65</v>
      </c>
      <c r="BX378" s="3880">
        <v>46568</v>
      </c>
      <c r="BY378" s="3881" t="s">
        <v>65</v>
      </c>
      <c r="BZ378" s="3878">
        <v>50.94</v>
      </c>
      <c r="CA378" s="3878"/>
      <c r="CB378" s="3879"/>
      <c r="CC378" s="3880">
        <v>46569</v>
      </c>
      <c r="CD378" s="3881" t="s">
        <v>65</v>
      </c>
      <c r="CE378" s="3880">
        <v>46752</v>
      </c>
      <c r="CF378" s="3881" t="s">
        <v>65</v>
      </c>
      <c r="CG378" s="3878">
        <v>50.94</v>
      </c>
      <c r="CH378" s="3878"/>
      <c r="CI378" s="3879"/>
      <c r="CJ378" s="3880">
        <v>46753</v>
      </c>
      <c r="CK378" s="3881" t="s">
        <v>65</v>
      </c>
      <c r="CL378" s="3880">
        <v>46934</v>
      </c>
      <c r="CM378" s="3881" t="s">
        <v>65</v>
      </c>
      <c r="CN378" s="3878">
        <v>60.03</v>
      </c>
      <c r="CO378" s="3878"/>
      <c r="CP378" s="3879"/>
      <c r="CQ378" s="3880">
        <v>46935</v>
      </c>
      <c r="CR378" s="3881" t="s">
        <v>65</v>
      </c>
      <c r="CS378" s="3880">
        <v>47118</v>
      </c>
      <c r="CT378" s="3881" t="s">
        <v>65</v>
      </c>
      <c r="CU378" s="4199"/>
      <c r="CV378" s="420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CW378" s="4093">
        <f>STRCHECKDATE(V379:CU379)</f>
      </c>
      <c r="CX378" s="4196"/>
      <c r="CY378" s="4196" t="str">
        <f>IF(T378="","",T378)</f>
        <v/>
      </c>
      <c r="CZ378" s="4196"/>
      <c r="DA378" s="4196"/>
      <c r="DB378" s="3858">
        <v>0</v>
      </c>
    </row>
    <row s="12002" customFormat="1" customHeight="1" ht="14.25">
      <c r="A379" s="4183"/>
      <c r="B379" s="4183"/>
      <c r="C379" s="4183"/>
      <c r="D379" s="4183"/>
      <c r="E379" s="4184"/>
      <c r="F379" s="4184"/>
      <c r="G379" s="4184"/>
      <c r="H379" s="4184"/>
      <c r="I379" s="4185"/>
      <c r="J379" s="4185" t="str">
        <f>I368&amp;".2"</f>
        <v>1.17.2.1.2</v>
      </c>
      <c r="K379" s="4186"/>
      <c r="L379" s="4187"/>
      <c r="M379" s="4188"/>
      <c r="N379" s="4188"/>
      <c r="O379" s="4188"/>
      <c r="P379" s="4189"/>
      <c r="Q379" s="4189"/>
      <c r="R379" s="4191"/>
      <c r="S379" s="4202"/>
      <c r="T379" s="4194"/>
      <c r="U379" s="4194"/>
      <c r="V379" s="3885"/>
      <c r="W379" s="3885"/>
      <c r="X379" s="3886" t="str">
        <f>Y378&amp;"-"&amp;AA378</f>
        <v>-</v>
      </c>
      <c r="Y379" s="3887"/>
      <c r="Z379" s="3881"/>
      <c r="AA379" s="3887"/>
      <c r="AB379" s="3881"/>
      <c r="AC379" s="3885"/>
      <c r="AD379" s="3885"/>
      <c r="AE379" s="3886" t="str">
        <f>AF378&amp;"-"&amp;AH378</f>
        <v>45292-45473</v>
      </c>
      <c r="AF379" s="3887"/>
      <c r="AG379" s="3881"/>
      <c r="AH379" s="4118"/>
      <c r="AI379" s="3881"/>
      <c r="AJ379" s="3885"/>
      <c r="AK379" s="3885"/>
      <c r="AL379" s="3886" t="str">
        <f>AM378&amp;"-"&amp;AO378</f>
        <v>45474-45657</v>
      </c>
      <c r="AM379" s="3887"/>
      <c r="AN379" s="3881"/>
      <c r="AO379" s="3887"/>
      <c r="AP379" s="3881"/>
      <c r="AQ379" s="3885"/>
      <c r="AR379" s="3885"/>
      <c r="AS379" s="3886" t="str">
        <f>AT378&amp;"-"&amp;AV378</f>
        <v>45658-45838</v>
      </c>
      <c r="AT379" s="3887"/>
      <c r="AU379" s="3881"/>
      <c r="AV379" s="3887"/>
      <c r="AW379" s="3881"/>
      <c r="AX379" s="3885"/>
      <c r="AY379" s="3885"/>
      <c r="AZ379" s="3886" t="str">
        <f>BA378&amp;"-"&amp;BC378</f>
        <v>45839-46022</v>
      </c>
      <c r="BA379" s="3887"/>
      <c r="BB379" s="3881"/>
      <c r="BC379" s="3887"/>
      <c r="BD379" s="3881"/>
      <c r="BE379" s="3885"/>
      <c r="BF379" s="3885"/>
      <c r="BG379" s="3886" t="str">
        <f>BH378&amp;"-"&amp;BJ378</f>
        <v>46023-46203</v>
      </c>
      <c r="BH379" s="3887"/>
      <c r="BI379" s="3881"/>
      <c r="BJ379" s="3887"/>
      <c r="BK379" s="3881"/>
      <c r="BL379" s="3885"/>
      <c r="BM379" s="3885"/>
      <c r="BN379" s="3886" t="str">
        <f>BO378&amp;"-"&amp;BQ378</f>
        <v>46204-46387</v>
      </c>
      <c r="BO379" s="3887"/>
      <c r="BP379" s="3881"/>
      <c r="BQ379" s="3887"/>
      <c r="BR379" s="3881"/>
      <c r="BS379" s="3885"/>
      <c r="BT379" s="3885"/>
      <c r="BU379" s="3886" t="str">
        <f>BV378&amp;"-"&amp;BX378</f>
        <v>46388-46568</v>
      </c>
      <c r="BV379" s="3887"/>
      <c r="BW379" s="3881"/>
      <c r="BX379" s="3887"/>
      <c r="BY379" s="3881"/>
      <c r="BZ379" s="3885"/>
      <c r="CA379" s="3885"/>
      <c r="CB379" s="3886" t="str">
        <f>CC378&amp;"-"&amp;CE378</f>
        <v>46569-46752</v>
      </c>
      <c r="CC379" s="3887"/>
      <c r="CD379" s="3881"/>
      <c r="CE379" s="3887"/>
      <c r="CF379" s="3881"/>
      <c r="CG379" s="3885"/>
      <c r="CH379" s="3885"/>
      <c r="CI379" s="3886" t="str">
        <f>CJ378&amp;"-"&amp;CL378</f>
        <v>46753-46934</v>
      </c>
      <c r="CJ379" s="3887"/>
      <c r="CK379" s="3881"/>
      <c r="CL379" s="3887"/>
      <c r="CM379" s="3881"/>
      <c r="CN379" s="3885"/>
      <c r="CO379" s="3885"/>
      <c r="CP379" s="3886" t="str">
        <f>CQ378&amp;"-"&amp;CS378</f>
        <v>46935-47118</v>
      </c>
      <c r="CQ379" s="3887"/>
      <c r="CR379" s="3881"/>
      <c r="CS379" s="3887"/>
      <c r="CT379" s="3881"/>
      <c r="CU379" s="4203"/>
      <c r="CV379" s="4200"/>
      <c r="CW379" s="4093"/>
      <c r="CX379" s="4196"/>
      <c r="CY379" s="4196" t="str">
        <f>IF(T379="","",T379)</f>
        <v/>
      </c>
      <c r="CZ379" s="4196"/>
      <c r="DA379" s="4196"/>
      <c r="DB379" s="3858">
        <v>0</v>
      </c>
    </row>
    <row s="12003" customFormat="1" customHeight="1" ht="21">
      <c r="A380" s="4183"/>
      <c r="B380" s="4183"/>
      <c r="C380" s="4183"/>
      <c r="D380" s="4183"/>
      <c r="E380" s="4184"/>
      <c r="F380" s="4184"/>
      <c r="G380" s="4184"/>
      <c r="H380" s="4184"/>
      <c r="I380" s="4185"/>
      <c r="J380" s="4186" t="str">
        <f>I368&amp;".2"</f>
        <v>1.17.2.1.2</v>
      </c>
      <c r="K380" s="4183"/>
      <c r="L380" s="4187"/>
      <c r="M380" s="4188"/>
      <c r="N380" s="4188"/>
      <c r="O380" s="4188"/>
      <c r="P380" s="4189"/>
      <c r="Q380" s="4189"/>
      <c r="R380" s="4205"/>
      <c r="S380" s="12004"/>
      <c r="T380" s="12005" t="s">
        <v>615</v>
      </c>
      <c r="U380" s="12006"/>
      <c r="V380" s="12007"/>
      <c r="W380" s="12008"/>
      <c r="X380" s="12009"/>
      <c r="Y380" s="12010"/>
      <c r="Z380" s="12011"/>
      <c r="AA380" s="12012"/>
      <c r="AB380" s="12013"/>
      <c r="AC380" s="12014"/>
      <c r="AD380" s="12015"/>
      <c r="AE380" s="12016"/>
      <c r="AF380" s="12017"/>
      <c r="AG380" s="12018"/>
      <c r="AH380" s="12019"/>
      <c r="AI380" s="12020"/>
      <c r="AJ380" s="12021"/>
      <c r="AK380" s="12022"/>
      <c r="AL380" s="12023"/>
      <c r="AM380" s="12024"/>
      <c r="AN380" s="12025"/>
      <c r="AO380" s="12026"/>
      <c r="AP380" s="12027"/>
      <c r="AQ380" s="12028"/>
      <c r="AR380" s="12029"/>
      <c r="AS380" s="12030"/>
      <c r="AT380" s="12031"/>
      <c r="AU380" s="12032"/>
      <c r="AV380" s="12033"/>
      <c r="AW380" s="12034"/>
      <c r="AX380" s="12035"/>
      <c r="AY380" s="12036"/>
      <c r="AZ380" s="12037"/>
      <c r="BA380" s="12038"/>
      <c r="BB380" s="12039"/>
      <c r="BC380" s="12040"/>
      <c r="BD380" s="12041"/>
      <c r="BE380" s="12042"/>
      <c r="BF380" s="12043"/>
      <c r="BG380" s="12044"/>
      <c r="BH380" s="12045"/>
      <c r="BI380" s="12046"/>
      <c r="BJ380" s="12047"/>
      <c r="BK380" s="12048"/>
      <c r="BL380" s="12049"/>
      <c r="BM380" s="12050"/>
      <c r="BN380" s="12051"/>
      <c r="BO380" s="12052"/>
      <c r="BP380" s="12053"/>
      <c r="BQ380" s="12054"/>
      <c r="BR380" s="12055"/>
      <c r="BS380" s="12056"/>
      <c r="BT380" s="12057"/>
      <c r="BU380" s="12058"/>
      <c r="BV380" s="12059"/>
      <c r="BW380" s="12060"/>
      <c r="BX380" s="12061"/>
      <c r="BY380" s="12062"/>
      <c r="BZ380" s="12063"/>
      <c r="CA380" s="12064"/>
      <c r="CB380" s="12065"/>
      <c r="CC380" s="12066"/>
      <c r="CD380" s="12067"/>
      <c r="CE380" s="12068"/>
      <c r="CF380" s="12069"/>
      <c r="CG380" s="12070"/>
      <c r="CH380" s="12071"/>
      <c r="CI380" s="12072"/>
      <c r="CJ380" s="12073"/>
      <c r="CK380" s="12074"/>
      <c r="CL380" s="12075"/>
      <c r="CM380" s="12076"/>
      <c r="CN380" s="12077"/>
      <c r="CO380" s="12078"/>
      <c r="CP380" s="12079"/>
      <c r="CQ380" s="12080"/>
      <c r="CR380" s="12081"/>
      <c r="CS380" s="12082"/>
      <c r="CT380" s="12083"/>
      <c r="CU380" s="12084"/>
      <c r="CV380" s="4287" t="s">
        <v>616</v>
      </c>
      <c r="CW380" s="4093"/>
      <c r="CX380" s="4196"/>
      <c r="CY380" s="4196" t="str">
        <f>IF(T380="","",T380)</f>
        <v>Добавить значение признака дифференциации</v>
      </c>
      <c r="CZ380" s="4196"/>
      <c r="DA380" s="4196"/>
      <c r="DB380" s="3858">
        <v>0</v>
      </c>
    </row>
    <row s="12085" customFormat="1" customHeight="1" ht="21">
      <c r="A381" s="4183"/>
      <c r="B381" s="4183"/>
      <c r="C381" s="4183"/>
      <c r="D381" s="4183"/>
      <c r="E381" s="4184"/>
      <c r="F381" s="4184"/>
      <c r="G381" s="4184">
        <v>1</v>
      </c>
      <c r="H381" s="4184"/>
      <c r="I381" s="4186"/>
      <c r="J381" s="4183"/>
      <c r="K381" s="4183"/>
      <c r="L381" s="4187"/>
      <c r="M381" s="4188"/>
      <c r="N381" s="4188"/>
      <c r="O381" s="4188"/>
      <c r="P381" s="4189"/>
      <c r="Q381" s="4189"/>
      <c r="R381" s="4205"/>
      <c r="S381" s="12086"/>
      <c r="T381" s="12087" t="s">
        <v>544</v>
      </c>
      <c r="U381" s="12088"/>
      <c r="V381" s="12089"/>
      <c r="W381" s="12090"/>
      <c r="X381" s="12091"/>
      <c r="Y381" s="12092"/>
      <c r="Z381" s="12093"/>
      <c r="AA381" s="12094"/>
      <c r="AB381" s="12095"/>
      <c r="AC381" s="12096"/>
      <c r="AD381" s="12097"/>
      <c r="AE381" s="12098"/>
      <c r="AF381" s="12099"/>
      <c r="AG381" s="12100"/>
      <c r="AH381" s="12101"/>
      <c r="AI381" s="12102"/>
      <c r="AJ381" s="12103"/>
      <c r="AK381" s="12104"/>
      <c r="AL381" s="12105"/>
      <c r="AM381" s="12106"/>
      <c r="AN381" s="12107"/>
      <c r="AO381" s="12108"/>
      <c r="AP381" s="12109"/>
      <c r="AQ381" s="12110"/>
      <c r="AR381" s="12111"/>
      <c r="AS381" s="12112"/>
      <c r="AT381" s="12113"/>
      <c r="AU381" s="12114"/>
      <c r="AV381" s="12115"/>
      <c r="AW381" s="12116"/>
      <c r="AX381" s="12117"/>
      <c r="AY381" s="12118"/>
      <c r="AZ381" s="12119"/>
      <c r="BA381" s="12120"/>
      <c r="BB381" s="12121"/>
      <c r="BC381" s="12122"/>
      <c r="BD381" s="12123"/>
      <c r="BE381" s="12124"/>
      <c r="BF381" s="12125"/>
      <c r="BG381" s="12126"/>
      <c r="BH381" s="12127"/>
      <c r="BI381" s="12128"/>
      <c r="BJ381" s="12129"/>
      <c r="BK381" s="12130"/>
      <c r="BL381" s="12131"/>
      <c r="BM381" s="12132"/>
      <c r="BN381" s="12133"/>
      <c r="BO381" s="12134"/>
      <c r="BP381" s="12135"/>
      <c r="BQ381" s="12136"/>
      <c r="BR381" s="12137"/>
      <c r="BS381" s="12138"/>
      <c r="BT381" s="12139"/>
      <c r="BU381" s="12140"/>
      <c r="BV381" s="12141"/>
      <c r="BW381" s="12142"/>
      <c r="BX381" s="12143"/>
      <c r="BY381" s="12144"/>
      <c r="BZ381" s="12145"/>
      <c r="CA381" s="12146"/>
      <c r="CB381" s="12147"/>
      <c r="CC381" s="12148"/>
      <c r="CD381" s="12149"/>
      <c r="CE381" s="12150"/>
      <c r="CF381" s="12151"/>
      <c r="CG381" s="12152"/>
      <c r="CH381" s="12153"/>
      <c r="CI381" s="12154"/>
      <c r="CJ381" s="12155"/>
      <c r="CK381" s="12156"/>
      <c r="CL381" s="12157"/>
      <c r="CM381" s="12158"/>
      <c r="CN381" s="12159"/>
      <c r="CO381" s="12160"/>
      <c r="CP381" s="12161"/>
      <c r="CQ381" s="12162"/>
      <c r="CR381" s="12163"/>
      <c r="CS381" s="12164"/>
      <c r="CT381" s="12165"/>
      <c r="CU381" s="12166"/>
      <c r="CV381" s="12167"/>
      <c r="CW381" s="4093"/>
      <c r="CX381" s="4196"/>
      <c r="CY381" s="4196" t="str">
        <f>IF(T381="","",T381)</f>
        <v>Добавить группу потребителей</v>
      </c>
      <c r="CZ381" s="4196"/>
      <c r="DA381" s="4196"/>
      <c r="DB381" s="3858">
        <v>0</v>
      </c>
    </row>
    <row s="12168" customFormat="1" customHeight="1" ht="14.25">
      <c r="A382" s="4183"/>
      <c r="B382" s="4183"/>
      <c r="C382" s="4183"/>
      <c r="D382" s="4183"/>
      <c r="E382" s="4184"/>
      <c r="F382" s="4184"/>
      <c r="G382" s="4184">
        <v>1</v>
      </c>
      <c r="H382" s="4500"/>
      <c r="I382" s="4183"/>
      <c r="J382" s="4183"/>
      <c r="K382" s="4183"/>
      <c r="L382" s="4187"/>
      <c r="M382" s="4501"/>
      <c r="N382" s="4501"/>
      <c r="O382" s="4083"/>
      <c r="P382" s="4853"/>
      <c r="Q382" s="4854"/>
      <c r="R382" s="4855"/>
      <c r="S382" s="12169"/>
      <c r="T382" s="12170" t="s">
        <v>617</v>
      </c>
      <c r="U382" s="12171"/>
      <c r="V382" s="12172"/>
      <c r="W382" s="12173"/>
      <c r="X382" s="12174"/>
      <c r="Y382" s="12175"/>
      <c r="Z382" s="12176"/>
      <c r="AA382" s="12177"/>
      <c r="AB382" s="12178"/>
      <c r="AC382" s="12179"/>
      <c r="AD382" s="12180"/>
      <c r="AE382" s="12181"/>
      <c r="AF382" s="12182"/>
      <c r="AG382" s="12183"/>
      <c r="AH382" s="12184"/>
      <c r="AI382" s="12185"/>
      <c r="AJ382" s="12186"/>
      <c r="AK382" s="12187"/>
      <c r="AL382" s="12188"/>
      <c r="AM382" s="12189"/>
      <c r="AN382" s="12190"/>
      <c r="AO382" s="12191"/>
      <c r="AP382" s="12192"/>
      <c r="AQ382" s="12193"/>
      <c r="AR382" s="12194"/>
      <c r="AS382" s="12195"/>
      <c r="AT382" s="12196"/>
      <c r="AU382" s="12197"/>
      <c r="AV382" s="12198"/>
      <c r="AW382" s="12199"/>
      <c r="AX382" s="12200"/>
      <c r="AY382" s="12201"/>
      <c r="AZ382" s="12202"/>
      <c r="BA382" s="12203"/>
      <c r="BB382" s="12204"/>
      <c r="BC382" s="12205"/>
      <c r="BD382" s="12206"/>
      <c r="BE382" s="12207"/>
      <c r="BF382" s="12208"/>
      <c r="BG382" s="12209"/>
      <c r="BH382" s="12210"/>
      <c r="BI382" s="12211"/>
      <c r="BJ382" s="12212"/>
      <c r="BK382" s="12213"/>
      <c r="BL382" s="12214"/>
      <c r="BM382" s="12215"/>
      <c r="BN382" s="12216"/>
      <c r="BO382" s="12217"/>
      <c r="BP382" s="12218"/>
      <c r="BQ382" s="12219"/>
      <c r="BR382" s="12220"/>
      <c r="BS382" s="12221"/>
      <c r="BT382" s="12222"/>
      <c r="BU382" s="12223"/>
      <c r="BV382" s="12224"/>
      <c r="BW382" s="12225"/>
      <c r="BX382" s="12226"/>
      <c r="BY382" s="12227"/>
      <c r="BZ382" s="12228"/>
      <c r="CA382" s="12229"/>
      <c r="CB382" s="12230"/>
      <c r="CC382" s="12231"/>
      <c r="CD382" s="12232"/>
      <c r="CE382" s="12233"/>
      <c r="CF382" s="12234"/>
      <c r="CG382" s="12235"/>
      <c r="CH382" s="12236"/>
      <c r="CI382" s="12237"/>
      <c r="CJ382" s="12238"/>
      <c r="CK382" s="12239"/>
      <c r="CL382" s="12240"/>
      <c r="CM382" s="12241"/>
      <c r="CN382" s="12242"/>
      <c r="CO382" s="12243"/>
      <c r="CP382" s="12244"/>
      <c r="CQ382" s="12245"/>
      <c r="CR382" s="12246"/>
      <c r="CS382" s="12247"/>
      <c r="CT382" s="12248"/>
      <c r="CU382" s="12249"/>
      <c r="CV382" s="12250"/>
      <c r="CW382" s="4093"/>
      <c r="CX382" s="4196"/>
      <c r="CY382" s="4196" t="str">
        <f>IF(T382="","",T382)</f>
        <v>Добавить наименование признака дифференциации</v>
      </c>
      <c r="CZ382" s="4196"/>
      <c r="DA382" s="4196"/>
      <c r="DB382" s="3858">
        <v>0</v>
      </c>
    </row>
    <row s="12251" customFormat="1" customHeight="1" ht="14.25">
      <c r="A383" s="4939"/>
      <c r="B383" s="4939"/>
      <c r="C383" s="4939"/>
      <c r="D383" s="4939"/>
      <c r="E383" s="4184"/>
      <c r="F383" s="4500" t="s">
        <v>175</v>
      </c>
      <c r="G383" s="4939"/>
      <c r="H383" s="4939"/>
      <c r="I383" s="4939"/>
      <c r="J383" s="4939"/>
      <c r="K383" s="4939"/>
      <c r="L383" s="4940"/>
      <c r="M383" s="4941"/>
      <c r="N383" s="4941"/>
      <c r="O383" s="4093"/>
      <c r="P383" s="4942"/>
      <c r="Q383" s="4943"/>
      <c r="R383" s="4942"/>
      <c r="S383" s="4944"/>
      <c r="T383" s="4945" t="s">
        <v>302</v>
      </c>
      <c r="U383" s="4081"/>
      <c r="V383" s="4081"/>
      <c r="W383" s="4081"/>
      <c r="X383" s="4081"/>
      <c r="Y383" s="4081"/>
      <c r="Z383" s="4081"/>
      <c r="AA383" s="4081"/>
      <c r="AB383" s="4081"/>
      <c r="AC383" s="4081"/>
      <c r="AD383" s="4081"/>
      <c r="AE383" s="4081"/>
      <c r="AF383" s="4081"/>
      <c r="AG383" s="4081"/>
      <c r="AH383" s="4081"/>
      <c r="AI383" s="4081"/>
      <c r="AJ383" s="4081"/>
      <c r="AK383" s="4081"/>
      <c r="AL383" s="4081"/>
      <c r="AM383" s="4081"/>
      <c r="AN383" s="4081"/>
      <c r="AO383" s="4081"/>
      <c r="AP383" s="4081"/>
      <c r="AQ383" s="4081"/>
      <c r="AR383" s="4081"/>
      <c r="AS383" s="4081"/>
      <c r="AT383" s="4081"/>
      <c r="AU383" s="4081"/>
      <c r="AV383" s="4081"/>
      <c r="AW383" s="4081"/>
      <c r="AX383" s="4081"/>
      <c r="AY383" s="4081"/>
      <c r="AZ383" s="4081"/>
      <c r="BA383" s="4081"/>
      <c r="BB383" s="4081"/>
      <c r="BC383" s="4081"/>
      <c r="BD383" s="4081"/>
      <c r="BE383" s="4081"/>
      <c r="BF383" s="4081"/>
      <c r="BG383" s="4081"/>
      <c r="BH383" s="4081"/>
      <c r="BI383" s="4081"/>
      <c r="BJ383" s="4081"/>
      <c r="BK383" s="4081"/>
      <c r="BL383" s="4081"/>
      <c r="BM383" s="4081"/>
      <c r="BN383" s="4081"/>
      <c r="BO383" s="4081"/>
      <c r="BP383" s="4081"/>
      <c r="BQ383" s="4081"/>
      <c r="BR383" s="4081"/>
      <c r="BS383" s="4081"/>
      <c r="BT383" s="4081"/>
      <c r="BU383" s="4081"/>
      <c r="BV383" s="4081"/>
      <c r="BW383" s="4081"/>
      <c r="BX383" s="4081"/>
      <c r="BY383" s="4081"/>
      <c r="BZ383" s="4081"/>
      <c r="CA383" s="4081"/>
      <c r="CB383" s="4081"/>
      <c r="CC383" s="4081"/>
      <c r="CD383" s="4081"/>
      <c r="CE383" s="4081"/>
      <c r="CF383" s="4081"/>
      <c r="CG383" s="4081"/>
      <c r="CH383" s="4081"/>
      <c r="CI383" s="4081"/>
      <c r="CJ383" s="4081"/>
      <c r="CK383" s="4081"/>
      <c r="CL383" s="4081"/>
      <c r="CM383" s="4081"/>
      <c r="CN383" s="4081"/>
      <c r="CO383" s="4081"/>
      <c r="CP383" s="4081"/>
      <c r="CQ383" s="4081"/>
      <c r="CR383" s="4081"/>
      <c r="CS383" s="4081"/>
      <c r="CT383" s="4081"/>
      <c r="CU383" s="4081"/>
      <c r="CV383" s="4081"/>
      <c r="CW383" s="4093"/>
      <c r="CX383" s="4196"/>
      <c r="CY383" s="4196" t="str">
        <f>IF(T383="","",T383)</f>
        <v>Добавить централизованную систему для дифференциации</v>
      </c>
      <c r="CZ383" s="4196"/>
      <c r="DA383" s="4196"/>
      <c r="DB383" s="4093">
        <v>0</v>
      </c>
    </row>
    <row s="2851" customFormat="1" customHeight="1" ht="0">
      <c r="A384" s="1399" t="s">
        <v>299</v>
      </c>
      <c r="B384" s="1399"/>
      <c r="C384" s="1399"/>
      <c r="D384" s="1399"/>
      <c r="E384" s="2314"/>
      <c r="F384" s="1399"/>
      <c r="G384" s="1399"/>
      <c r="H384" s="1399"/>
      <c r="I384" s="1399"/>
      <c r="J384" s="1399"/>
      <c r="K384" s="1399"/>
      <c r="L384" s="1402"/>
      <c r="M384" s="1377"/>
      <c r="N384" s="1377"/>
      <c r="O384" s="574"/>
      <c r="P384" s="436"/>
      <c r="Q384" s="1400"/>
      <c r="R384" s="436"/>
      <c r="S384" s="1378"/>
      <c r="T384" s="1381" t="s">
        <v>359</v>
      </c>
      <c r="U384" s="1380"/>
      <c r="V384" s="1380"/>
      <c r="W384" s="1380"/>
      <c r="X384" s="1380"/>
      <c r="Y384" s="1380"/>
      <c r="Z384" s="1380"/>
      <c r="AA384" s="1380"/>
      <c r="AB384" s="1380"/>
      <c r="AC384" s="1380"/>
      <c r="AD384" s="1380"/>
      <c r="AE384" s="1380"/>
      <c r="AF384" s="1380"/>
      <c r="AG384" s="1380"/>
      <c r="AH384" s="1380"/>
      <c r="AI384" s="1380"/>
      <c r="AJ384" s="4081"/>
      <c r="AK384" s="4081"/>
      <c r="AL384" s="4081"/>
      <c r="AM384" s="4081"/>
      <c r="AN384" s="4081"/>
      <c r="AO384" s="4081"/>
      <c r="AP384" s="4081"/>
      <c r="AQ384" s="4081"/>
      <c r="AR384" s="4081"/>
      <c r="AS384" s="4081"/>
      <c r="AT384" s="4081"/>
      <c r="AU384" s="4081"/>
      <c r="AV384" s="4081"/>
      <c r="AW384" s="4081"/>
      <c r="AX384" s="4081"/>
      <c r="AY384" s="4081"/>
      <c r="AZ384" s="4081"/>
      <c r="BA384" s="4081"/>
      <c r="BB384" s="4081"/>
      <c r="BC384" s="4081"/>
      <c r="BD384" s="4081"/>
      <c r="BE384" s="4081"/>
      <c r="BF384" s="4081"/>
      <c r="BG384" s="4081"/>
      <c r="BH384" s="4081"/>
      <c r="BI384" s="4081"/>
      <c r="BJ384" s="4081"/>
      <c r="BK384" s="4081"/>
      <c r="BL384" s="4081"/>
      <c r="BM384" s="4081"/>
      <c r="BN384" s="4081"/>
      <c r="BO384" s="4081"/>
      <c r="BP384" s="4081"/>
      <c r="BQ384" s="4081"/>
      <c r="BR384" s="4081"/>
      <c r="BS384" s="4081"/>
      <c r="BT384" s="4081"/>
      <c r="BU384" s="4081"/>
      <c r="BV384" s="4081"/>
      <c r="BW384" s="4081"/>
      <c r="BX384" s="4081"/>
      <c r="BY384" s="4081"/>
      <c r="BZ384" s="4081"/>
      <c r="CA384" s="4081"/>
      <c r="CB384" s="4081"/>
      <c r="CC384" s="4081"/>
      <c r="CD384" s="4081"/>
      <c r="CE384" s="4081"/>
      <c r="CF384" s="4081"/>
      <c r="CG384" s="4081"/>
      <c r="CH384" s="4081"/>
      <c r="CI384" s="4081"/>
      <c r="CJ384" s="4081"/>
      <c r="CK384" s="4081"/>
      <c r="CL384" s="4081"/>
      <c r="CM384" s="4081"/>
      <c r="CN384" s="4081"/>
      <c r="CO384" s="4081"/>
      <c r="CP384" s="4081"/>
      <c r="CQ384" s="4081"/>
      <c r="CR384" s="4081"/>
      <c r="CS384" s="4081"/>
      <c r="CT384" s="4081"/>
      <c r="CU384" s="1380"/>
      <c r="CV384" s="1380"/>
      <c r="CX384" s="556"/>
      <c r="CY384" s="556" t="str">
        <f>IF(T384="","",T384)</f>
        <v>Добавить территорию для дифференциации</v>
      </c>
      <c r="CZ384" s="556"/>
      <c r="DA384" s="556"/>
      <c r="DB384" s="567">
        <v>0</v>
      </c>
    </row>
    <row s="2851" customFormat="1" customHeight="1" ht="0">
      <c r="A385" s="1370"/>
      <c r="B385" s="1370"/>
      <c r="C385" s="1370"/>
      <c r="D385" s="1370"/>
      <c r="E385" s="1399"/>
      <c r="F385" s="1370"/>
      <c r="G385" s="1370"/>
      <c r="H385" s="1370"/>
      <c r="I385" s="1370"/>
      <c r="J385" s="1370"/>
      <c r="K385" s="1370"/>
      <c r="L385" s="1482"/>
      <c r="M385" s="1377"/>
      <c r="N385" s="1377"/>
      <c r="P385" s="1372"/>
      <c r="Q385" s="1373"/>
      <c r="R385" s="1372"/>
      <c r="S385" s="1378"/>
      <c r="T385" s="1381" t="s">
        <v>360</v>
      </c>
      <c r="U385" s="1380"/>
      <c r="V385" s="1380"/>
      <c r="W385" s="1380"/>
      <c r="X385" s="1380"/>
      <c r="Y385" s="1380"/>
      <c r="Z385" s="1380"/>
      <c r="AA385" s="1380"/>
      <c r="AB385" s="1380"/>
      <c r="AC385" s="1380"/>
      <c r="AD385" s="1380"/>
      <c r="AE385" s="1380"/>
      <c r="AF385" s="1380"/>
      <c r="AG385" s="1380"/>
      <c r="AH385" s="1380"/>
      <c r="AI385" s="1380"/>
      <c r="AJ385" s="4081"/>
      <c r="AK385" s="4081"/>
      <c r="AL385" s="4081"/>
      <c r="AM385" s="4081"/>
      <c r="AN385" s="4081"/>
      <c r="AO385" s="4081"/>
      <c r="AP385" s="4081"/>
      <c r="AQ385" s="4081"/>
      <c r="AR385" s="4081"/>
      <c r="AS385" s="4081"/>
      <c r="AT385" s="4081"/>
      <c r="AU385" s="4081"/>
      <c r="AV385" s="4081"/>
      <c r="AW385" s="4081"/>
      <c r="AX385" s="4081"/>
      <c r="AY385" s="4081"/>
      <c r="AZ385" s="4081"/>
      <c r="BA385" s="4081"/>
      <c r="BB385" s="4081"/>
      <c r="BC385" s="4081"/>
      <c r="BD385" s="4081"/>
      <c r="BE385" s="4081"/>
      <c r="BF385" s="4081"/>
      <c r="BG385" s="4081"/>
      <c r="BH385" s="4081"/>
      <c r="BI385" s="4081"/>
      <c r="BJ385" s="4081"/>
      <c r="BK385" s="4081"/>
      <c r="BL385" s="4081"/>
      <c r="BM385" s="4081"/>
      <c r="BN385" s="4081"/>
      <c r="BO385" s="4081"/>
      <c r="BP385" s="4081"/>
      <c r="BQ385" s="4081"/>
      <c r="BR385" s="4081"/>
      <c r="BS385" s="4081"/>
      <c r="BT385" s="4081"/>
      <c r="BU385" s="4081"/>
      <c r="BV385" s="4081"/>
      <c r="BW385" s="4081"/>
      <c r="BX385" s="4081"/>
      <c r="BY385" s="4081"/>
      <c r="BZ385" s="4081"/>
      <c r="CA385" s="4081"/>
      <c r="CB385" s="4081"/>
      <c r="CC385" s="4081"/>
      <c r="CD385" s="4081"/>
      <c r="CE385" s="4081"/>
      <c r="CF385" s="4081"/>
      <c r="CG385" s="4081"/>
      <c r="CH385" s="4081"/>
      <c r="CI385" s="4081"/>
      <c r="CJ385" s="4081"/>
      <c r="CK385" s="4081"/>
      <c r="CL385" s="4081"/>
      <c r="CM385" s="4081"/>
      <c r="CN385" s="4081"/>
      <c r="CO385" s="4081"/>
      <c r="CP385" s="4081"/>
      <c r="CQ385" s="4081"/>
      <c r="CR385" s="4081"/>
      <c r="CS385" s="4081"/>
      <c r="CT385" s="4081"/>
      <c r="CU385" s="1380"/>
      <c r="CV385" s="1380"/>
      <c r="CX385" s="845"/>
      <c r="CY385" s="845" t="str">
        <f>IF(T385="","",T385)</f>
        <v>Добавить наименование тарифа</v>
      </c>
      <c r="CZ385" s="845"/>
      <c r="DA385" s="845"/>
      <c r="DB385" s="574">
        <v>0</v>
      </c>
    </row>
    <row customHeight="1" ht="11.549999999999999">
      <c r="M386" s="1216"/>
      <c r="N386" s="1216"/>
      <c r="O386" s="593"/>
      <c r="P386" s="1211"/>
      <c r="Q386" s="1211"/>
      <c r="R386" s="1211"/>
      <c r="S386" s="1211"/>
      <c r="AJ386" s="3858"/>
      <c r="AK386" s="3858"/>
      <c r="AL386" s="3858"/>
      <c r="AM386" s="3858"/>
      <c r="AN386" s="3858"/>
      <c r="AO386" s="3858"/>
      <c r="AP386" s="3858"/>
      <c r="AQ386" s="3858"/>
      <c r="AR386" s="3858"/>
      <c r="AS386" s="3858"/>
      <c r="AT386" s="3858"/>
      <c r="AU386" s="3858"/>
      <c r="AV386" s="3858"/>
      <c r="AW386" s="3858"/>
      <c r="AX386" s="3858"/>
      <c r="AY386" s="3858"/>
      <c r="AZ386" s="3858"/>
      <c r="BA386" s="3858"/>
      <c r="BB386" s="3858"/>
      <c r="BC386" s="3858"/>
      <c r="BD386" s="3858"/>
      <c r="BE386" s="3858"/>
      <c r="BF386" s="3858"/>
      <c r="BG386" s="3858"/>
      <c r="BH386" s="3858"/>
      <c r="BI386" s="3858"/>
      <c r="BJ386" s="3858"/>
      <c r="BK386" s="3858"/>
      <c r="BL386" s="3858"/>
      <c r="BM386" s="3858"/>
      <c r="BN386" s="3858"/>
      <c r="BO386" s="3858"/>
      <c r="BP386" s="3858"/>
      <c r="BQ386" s="3858"/>
      <c r="BR386" s="3858"/>
      <c r="BS386" s="3858"/>
      <c r="BT386" s="3858"/>
      <c r="BU386" s="3858"/>
      <c r="BV386" s="3858"/>
      <c r="BW386" s="3858"/>
      <c r="BX386" s="3858"/>
      <c r="BY386" s="3858"/>
      <c r="BZ386" s="3858"/>
      <c r="CA386" s="3858"/>
      <c r="CB386" s="3858"/>
      <c r="CC386" s="3858"/>
      <c r="CD386" s="3858"/>
      <c r="CE386" s="3858"/>
      <c r="CF386" s="3858"/>
      <c r="CG386" s="3858"/>
      <c r="CH386" s="3858"/>
      <c r="CI386" s="3858"/>
      <c r="CJ386" s="3858"/>
      <c r="CK386" s="3858"/>
      <c r="CL386" s="3858"/>
      <c r="CM386" s="3858"/>
      <c r="CN386" s="3858"/>
      <c r="CO386" s="3858"/>
      <c r="CP386" s="3858"/>
      <c r="CQ386" s="3858"/>
      <c r="CR386" s="3858"/>
      <c r="CS386" s="3858"/>
      <c r="CT386" s="3858"/>
      <c r="CW386" s="1211"/>
      <c r="CX386" s="1211"/>
      <c r="CY386" s="1211"/>
      <c r="CZ386" s="1211"/>
      <c r="DA386" s="1211"/>
      <c r="DB386" s="1211">
        <v>11</v>
      </c>
    </row>
    <row customHeight="1" ht="14.699999999999998">
      <c r="O387" s="593"/>
      <c r="S387" s="1309"/>
      <c r="T387" s="2341"/>
      <c r="U387" s="2341"/>
      <c r="V387" s="2341"/>
      <c r="W387" s="2341"/>
      <c r="X387" s="2341"/>
      <c r="Y387" s="2341"/>
      <c r="Z387" s="2341"/>
      <c r="AA387" s="2341"/>
      <c r="AB387" s="2341"/>
      <c r="AC387" s="2341"/>
      <c r="AD387" s="2341"/>
      <c r="AE387" s="2341"/>
      <c r="AF387" s="2341"/>
      <c r="AG387" s="2341"/>
      <c r="AH387" s="2341"/>
      <c r="AI387" s="2341"/>
      <c r="AJ387" s="12252"/>
      <c r="AK387" s="12252"/>
      <c r="AL387" s="12252"/>
      <c r="AM387" s="12252"/>
      <c r="AN387" s="12252"/>
      <c r="AO387" s="12252"/>
      <c r="AP387" s="12252"/>
      <c r="AQ387" s="12252"/>
      <c r="AR387" s="12252"/>
      <c r="AS387" s="12252"/>
      <c r="AT387" s="12252"/>
      <c r="AU387" s="12252"/>
      <c r="AV387" s="12252"/>
      <c r="AW387" s="12252"/>
      <c r="AX387" s="12252"/>
      <c r="AY387" s="12252"/>
      <c r="AZ387" s="12252"/>
      <c r="BA387" s="12252"/>
      <c r="BB387" s="12252"/>
      <c r="BC387" s="12252"/>
      <c r="BD387" s="12252"/>
      <c r="BE387" s="12252"/>
      <c r="BF387" s="12252"/>
      <c r="BG387" s="12252"/>
      <c r="BH387" s="12252"/>
      <c r="BI387" s="12252"/>
      <c r="BJ387" s="12252"/>
      <c r="BK387" s="12252"/>
      <c r="BL387" s="12252"/>
      <c r="BM387" s="12252"/>
      <c r="BN387" s="12252"/>
      <c r="BO387" s="12252"/>
      <c r="BP387" s="12252"/>
      <c r="BQ387" s="12252"/>
      <c r="BR387" s="12252"/>
      <c r="BS387" s="12252"/>
      <c r="BT387" s="12252"/>
      <c r="BU387" s="12252"/>
      <c r="BV387" s="12252"/>
      <c r="BW387" s="12252"/>
      <c r="BX387" s="12252"/>
      <c r="BY387" s="12252"/>
      <c r="BZ387" s="12252"/>
      <c r="CA387" s="12252"/>
      <c r="CB387" s="12252"/>
      <c r="CC387" s="12252"/>
      <c r="CD387" s="12252"/>
      <c r="CE387" s="12252"/>
      <c r="CF387" s="12252"/>
      <c r="CG387" s="12252"/>
      <c r="CH387" s="12252"/>
      <c r="CI387" s="12252"/>
      <c r="CJ387" s="12252"/>
      <c r="CK387" s="12252"/>
      <c r="CL387" s="12252"/>
      <c r="CM387" s="12252"/>
      <c r="CN387" s="12252"/>
      <c r="CO387" s="12252"/>
      <c r="CP387" s="12252"/>
      <c r="CQ387" s="12252"/>
      <c r="CR387" s="12252"/>
      <c r="CS387" s="12252"/>
      <c r="CT387" s="12252"/>
      <c r="CU387" s="2341"/>
      <c r="CV387" s="2341"/>
      <c r="DB387" s="1211">
        <v>14</v>
      </c>
    </row>
    <row customHeight="1" ht="14.699999999999998">
      <c r="O388" s="593"/>
      <c r="AJ388" s="3858"/>
      <c r="AK388" s="3858"/>
      <c r="AL388" s="3858"/>
      <c r="AM388" s="3858"/>
      <c r="AN388" s="3858"/>
      <c r="AO388" s="3858"/>
      <c r="AP388" s="3858"/>
      <c r="AQ388" s="3858"/>
      <c r="AR388" s="3858"/>
      <c r="AS388" s="3858"/>
      <c r="AT388" s="3858"/>
      <c r="AU388" s="3858"/>
      <c r="AV388" s="3858"/>
      <c r="AW388" s="3858"/>
      <c r="AX388" s="3858"/>
      <c r="AY388" s="3858"/>
      <c r="AZ388" s="3858"/>
      <c r="BA388" s="3858"/>
      <c r="BB388" s="3858"/>
      <c r="BC388" s="3858"/>
      <c r="BD388" s="3858"/>
      <c r="BE388" s="3858"/>
      <c r="BF388" s="3858"/>
      <c r="BG388" s="3858"/>
      <c r="BH388" s="3858"/>
      <c r="BI388" s="3858"/>
      <c r="BJ388" s="3858"/>
      <c r="BK388" s="3858"/>
      <c r="BL388" s="3858"/>
      <c r="BM388" s="3858"/>
      <c r="BN388" s="3858"/>
      <c r="BO388" s="3858"/>
      <c r="BP388" s="3858"/>
      <c r="BQ388" s="3858"/>
      <c r="BR388" s="3858"/>
      <c r="BS388" s="3858"/>
      <c r="BT388" s="3858"/>
      <c r="BU388" s="3858"/>
      <c r="BV388" s="3858"/>
      <c r="BW388" s="3858"/>
      <c r="BX388" s="3858"/>
      <c r="BY388" s="3858"/>
      <c r="BZ388" s="3858"/>
      <c r="CA388" s="3858"/>
      <c r="CB388" s="3858"/>
      <c r="CC388" s="3858"/>
      <c r="CD388" s="3858"/>
      <c r="CE388" s="3858"/>
      <c r="CF388" s="3858"/>
      <c r="CG388" s="3858"/>
      <c r="CH388" s="3858"/>
      <c r="CI388" s="3858"/>
      <c r="CJ388" s="3858"/>
      <c r="CK388" s="3858"/>
      <c r="CL388" s="3858"/>
      <c r="CM388" s="3858"/>
      <c r="CN388" s="3858"/>
      <c r="CO388" s="3858"/>
      <c r="CP388" s="3858"/>
      <c r="CQ388" s="3858"/>
      <c r="CR388" s="3858"/>
      <c r="CS388" s="3858"/>
      <c r="CT388" s="3858"/>
      <c r="DB388" s="1211">
        <v>14</v>
      </c>
    </row>
    <row customHeight="1" ht="14.699999999999998">
      <c r="O389" s="593"/>
      <c r="S389" s="1309"/>
      <c r="T389" s="2341"/>
      <c r="U389" s="2341"/>
      <c r="V389" s="2341"/>
      <c r="W389" s="2341"/>
      <c r="X389" s="2341"/>
      <c r="Y389" s="2341"/>
      <c r="Z389" s="2341"/>
      <c r="AA389" s="2341"/>
      <c r="AB389" s="2341"/>
      <c r="AC389" s="2341"/>
      <c r="AD389" s="2341"/>
      <c r="AE389" s="2341"/>
      <c r="AF389" s="2341"/>
      <c r="AG389" s="2341"/>
      <c r="AH389" s="2341"/>
      <c r="AI389" s="2341"/>
      <c r="AJ389" s="12252"/>
      <c r="AK389" s="12252"/>
      <c r="AL389" s="12252"/>
      <c r="AM389" s="12252"/>
      <c r="AN389" s="12252"/>
      <c r="AO389" s="12252"/>
      <c r="AP389" s="12252"/>
      <c r="AQ389" s="12252"/>
      <c r="AR389" s="12252"/>
      <c r="AS389" s="12252"/>
      <c r="AT389" s="12252"/>
      <c r="AU389" s="12252"/>
      <c r="AV389" s="12252"/>
      <c r="AW389" s="12252"/>
      <c r="AX389" s="12252"/>
      <c r="AY389" s="12252"/>
      <c r="AZ389" s="12252"/>
      <c r="BA389" s="12252"/>
      <c r="BB389" s="12252"/>
      <c r="BC389" s="12252"/>
      <c r="BD389" s="12252"/>
      <c r="BE389" s="12252"/>
      <c r="BF389" s="12252"/>
      <c r="BG389" s="12252"/>
      <c r="BH389" s="12252"/>
      <c r="BI389" s="12252"/>
      <c r="BJ389" s="12252"/>
      <c r="BK389" s="12252"/>
      <c r="BL389" s="12252"/>
      <c r="BM389" s="12252"/>
      <c r="BN389" s="12252"/>
      <c r="BO389" s="12252"/>
      <c r="BP389" s="12252"/>
      <c r="BQ389" s="12252"/>
      <c r="BR389" s="12252"/>
      <c r="BS389" s="12252"/>
      <c r="BT389" s="12252"/>
      <c r="BU389" s="12252"/>
      <c r="BV389" s="12252"/>
      <c r="BW389" s="12252"/>
      <c r="BX389" s="12252"/>
      <c r="BY389" s="12252"/>
      <c r="BZ389" s="12252"/>
      <c r="CA389" s="12252"/>
      <c r="CB389" s="12252"/>
      <c r="CC389" s="12252"/>
      <c r="CD389" s="12252"/>
      <c r="CE389" s="12252"/>
      <c r="CF389" s="12252"/>
      <c r="CG389" s="12252"/>
      <c r="CH389" s="12252"/>
      <c r="CI389" s="12252"/>
      <c r="CJ389" s="12252"/>
      <c r="CK389" s="12252"/>
      <c r="CL389" s="12252"/>
      <c r="CM389" s="12252"/>
      <c r="CN389" s="12252"/>
      <c r="CO389" s="12252"/>
      <c r="CP389" s="12252"/>
      <c r="CQ389" s="12252"/>
      <c r="CR389" s="12252"/>
      <c r="CS389" s="12252"/>
      <c r="CT389" s="12252"/>
      <c r="CU389" s="2341"/>
      <c r="CV389" s="2341"/>
      <c r="DB389" s="1211">
        <v>14</v>
      </c>
    </row>
    <row customHeight="1" ht="22.5" hidden="1">
      <c r="A390" s="1216" t="s">
        <v>86</v>
      </c>
      <c r="B390" s="1216">
        <v>0</v>
      </c>
      <c r="C390" s="1216">
        <v>0</v>
      </c>
      <c r="D390" s="1216">
        <v>0</v>
      </c>
      <c r="E390" s="1216">
        <v>0</v>
      </c>
      <c r="F390" s="1216">
        <v>0</v>
      </c>
      <c r="G390" s="1216">
        <v>0</v>
      </c>
      <c r="H390" s="1216">
        <v>0</v>
      </c>
      <c r="I390" s="1216">
        <v>0</v>
      </c>
      <c r="J390" s="1216">
        <v>0</v>
      </c>
      <c r="K390" s="1216">
        <v>0</v>
      </c>
      <c r="L390" s="1477">
        <v>0</v>
      </c>
      <c r="M390" s="1418">
        <v>0</v>
      </c>
      <c r="N390" s="1418">
        <v>0</v>
      </c>
      <c r="O390" s="1418">
        <v>0</v>
      </c>
      <c r="P390" s="1407">
        <v>3</v>
      </c>
      <c r="Q390" s="400">
        <v>3</v>
      </c>
      <c r="R390" s="400">
        <v>3</v>
      </c>
      <c r="S390" s="637">
        <v>12</v>
      </c>
      <c r="T390" s="1211">
        <v>35</v>
      </c>
      <c r="U390" s="1211">
        <v>0</v>
      </c>
      <c r="V390" s="1211">
        <v>0</v>
      </c>
      <c r="W390" s="1211">
        <v>0</v>
      </c>
      <c r="X390" s="1211">
        <v>0</v>
      </c>
      <c r="Y390" s="1211">
        <v>0</v>
      </c>
      <c r="Z390" s="1211">
        <v>0</v>
      </c>
      <c r="AA390" s="1211">
        <v>0</v>
      </c>
      <c r="AB390" s="1211">
        <v>0</v>
      </c>
      <c r="AC390" s="1211">
        <v>24</v>
      </c>
      <c r="AD390" s="1211">
        <v>24</v>
      </c>
      <c r="AE390" s="1211">
        <v>24</v>
      </c>
      <c r="AF390" s="1211">
        <v>11</v>
      </c>
      <c r="AG390" s="1211">
        <v>3</v>
      </c>
      <c r="AH390" s="1211">
        <v>11</v>
      </c>
      <c r="AI390" s="1211">
        <v>0</v>
      </c>
      <c r="AJ390" s="3858">
        <v>0</v>
      </c>
      <c r="AK390" s="3858">
        <v>0</v>
      </c>
      <c r="AL390" s="3858">
        <v>0</v>
      </c>
      <c r="AM390" s="3858">
        <v>0</v>
      </c>
      <c r="AN390" s="3858">
        <v>0</v>
      </c>
      <c r="AO390" s="3858">
        <v>0</v>
      </c>
      <c r="AP390" s="3858">
        <v>0</v>
      </c>
      <c r="AQ390" s="3858">
        <v>0</v>
      </c>
      <c r="AR390" s="3858">
        <v>0</v>
      </c>
      <c r="AS390" s="3858">
        <v>0</v>
      </c>
      <c r="AT390" s="3858">
        <v>0</v>
      </c>
      <c r="AU390" s="3858">
        <v>0</v>
      </c>
      <c r="AV390" s="3858">
        <v>0</v>
      </c>
      <c r="AW390" s="3858">
        <v>0</v>
      </c>
      <c r="AX390" s="3858">
        <v>0</v>
      </c>
      <c r="AY390" s="3858">
        <v>0</v>
      </c>
      <c r="AZ390" s="3858">
        <v>0</v>
      </c>
      <c r="BA390" s="3858">
        <v>0</v>
      </c>
      <c r="BB390" s="3858">
        <v>0</v>
      </c>
      <c r="BC390" s="3858">
        <v>0</v>
      </c>
      <c r="BD390" s="3858">
        <v>0</v>
      </c>
      <c r="BE390" s="3858">
        <v>0</v>
      </c>
      <c r="BF390" s="3858">
        <v>0</v>
      </c>
      <c r="BG390" s="3858">
        <v>0</v>
      </c>
      <c r="BH390" s="3858">
        <v>0</v>
      </c>
      <c r="BI390" s="3858">
        <v>0</v>
      </c>
      <c r="BJ390" s="3858">
        <v>0</v>
      </c>
      <c r="BK390" s="3858">
        <v>0</v>
      </c>
      <c r="BL390" s="3858">
        <v>0</v>
      </c>
      <c r="BM390" s="3858">
        <v>0</v>
      </c>
      <c r="BN390" s="3858">
        <v>0</v>
      </c>
      <c r="BO390" s="3858">
        <v>0</v>
      </c>
      <c r="BP390" s="3858">
        <v>0</v>
      </c>
      <c r="BQ390" s="3858">
        <v>0</v>
      </c>
      <c r="BR390" s="3858">
        <v>0</v>
      </c>
      <c r="BS390" s="3858">
        <v>0</v>
      </c>
      <c r="BT390" s="3858">
        <v>0</v>
      </c>
      <c r="BU390" s="3858">
        <v>0</v>
      </c>
      <c r="BV390" s="3858">
        <v>0</v>
      </c>
      <c r="BW390" s="3858">
        <v>0</v>
      </c>
      <c r="BX390" s="3858">
        <v>0</v>
      </c>
      <c r="BY390" s="3858">
        <v>0</v>
      </c>
      <c r="BZ390" s="3858">
        <v>0</v>
      </c>
      <c r="CA390" s="3858">
        <v>0</v>
      </c>
      <c r="CB390" s="3858">
        <v>0</v>
      </c>
      <c r="CC390" s="3858">
        <v>0</v>
      </c>
      <c r="CD390" s="3858">
        <v>0</v>
      </c>
      <c r="CE390" s="3858">
        <v>0</v>
      </c>
      <c r="CF390" s="3858">
        <v>0</v>
      </c>
      <c r="CG390" s="3858">
        <v>0</v>
      </c>
      <c r="CH390" s="3858">
        <v>0</v>
      </c>
      <c r="CI390" s="3858">
        <v>0</v>
      </c>
      <c r="CJ390" s="3858">
        <v>0</v>
      </c>
      <c r="CK390" s="3858">
        <v>0</v>
      </c>
      <c r="CL390" s="3858">
        <v>0</v>
      </c>
      <c r="CM390" s="3858">
        <v>0</v>
      </c>
      <c r="CN390" s="3858">
        <v>0</v>
      </c>
      <c r="CO390" s="3858">
        <v>0</v>
      </c>
      <c r="CP390" s="3858">
        <v>0</v>
      </c>
      <c r="CQ390" s="3858">
        <v>0</v>
      </c>
      <c r="CR390" s="3858">
        <v>0</v>
      </c>
      <c r="CS390" s="3858">
        <v>0</v>
      </c>
      <c r="CT390" s="3858">
        <v>0</v>
      </c>
      <c r="CU390" s="1211">
        <v>4</v>
      </c>
      <c r="CV390" s="1211">
        <v>115</v>
      </c>
      <c r="CW390" s="567">
        <v>10</v>
      </c>
      <c r="CX390" s="567">
        <v>10</v>
      </c>
      <c r="CY390" s="567">
        <v>10</v>
      </c>
      <c r="CZ390" s="567">
        <v>10</v>
      </c>
      <c r="DA390" s="567">
        <v>10</v>
      </c>
      <c r="DB390" s="1211">
        <v>23</v>
      </c>
    </row>
  </sheetData>
  <sheetProtection formatColumns="0" formatRows="0" autoFilter="0" sort="0" insertRows="0" insertColumns="1" deleteRows="0" deleteColumns="0"/>
  <mergeCells count="3332">
    <mergeCell ref="E2:E13"/>
    <mergeCell ref="V2:AB2"/>
    <mergeCell ref="AC2:CU2"/>
    <mergeCell ref="F3:F12"/>
    <mergeCell ref="V3:AB3"/>
    <mergeCell ref="AC3:CU3"/>
    <mergeCell ref="G4:G11"/>
    <mergeCell ref="V4:AB4"/>
    <mergeCell ref="AC4:CU4"/>
    <mergeCell ref="H5:H11"/>
    <mergeCell ref="AI7:AI8"/>
    <mergeCell ref="K7:K8"/>
    <mergeCell ref="Y7:Y8"/>
    <mergeCell ref="Z7:Z8"/>
    <mergeCell ref="AA7:AA8"/>
    <mergeCell ref="AB7:AB8"/>
    <mergeCell ref="I5:I10"/>
    <mergeCell ref="P5:P10"/>
    <mergeCell ref="V5:AB5"/>
    <mergeCell ref="AC5:CU5"/>
    <mergeCell ref="J6:J9"/>
    <mergeCell ref="Q6:Q9"/>
    <mergeCell ref="V6:AB6"/>
    <mergeCell ref="AC6:CU6"/>
    <mergeCell ref="CV7:CV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CU36"/>
    <mergeCell ref="CV36:CV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CU37:CU39"/>
    <mergeCell ref="W38:X38"/>
    <mergeCell ref="E41:E384"/>
    <mergeCell ref="V41:AB41"/>
    <mergeCell ref="AC41:CU41"/>
    <mergeCell ref="F42:F59"/>
    <mergeCell ref="V42:AB42"/>
    <mergeCell ref="AC42:CU42"/>
    <mergeCell ref="G43:G58"/>
    <mergeCell ref="Y38:AA38"/>
    <mergeCell ref="AD38:AE38"/>
    <mergeCell ref="AF38:AH38"/>
    <mergeCell ref="Z39:AA39"/>
    <mergeCell ref="H44:H58"/>
    <mergeCell ref="I44:I57"/>
    <mergeCell ref="P44:P57"/>
    <mergeCell ref="V44:AB44"/>
    <mergeCell ref="AC44:CU44"/>
    <mergeCell ref="J45:J48"/>
    <mergeCell ref="AG39:AH39"/>
    <mergeCell ref="Z40:AA40"/>
    <mergeCell ref="AG40:AH40"/>
    <mergeCell ref="K46:K47"/>
    <mergeCell ref="V43:AB43"/>
    <mergeCell ref="AC43:CU43"/>
    <mergeCell ref="T387:CV387"/>
    <mergeCell ref="T389:CV389"/>
    <mergeCell ref="Q45:Q48"/>
    <mergeCell ref="V45:AB45"/>
    <mergeCell ref="AC45:CU45"/>
    <mergeCell ref="AF46:AF47"/>
    <mergeCell ref="AG46:AG47"/>
    <mergeCell ref="CV46:CV47"/>
    <mergeCell ref="AH46:AH47"/>
    <mergeCell ref="AI46:AI47"/>
    <mergeCell ref="F60:F77"/>
    <mergeCell ref="V60:AB60"/>
    <mergeCell ref="AC60:CU60"/>
    <mergeCell ref="G61:G76"/>
    <mergeCell ref="V61:AB61"/>
    <mergeCell ref="AC61:CU61"/>
    <mergeCell ref="H62:H76"/>
    <mergeCell ref="AI64:AI65"/>
    <mergeCell ref="K64:K65"/>
    <mergeCell ref="Y64:Y65"/>
    <mergeCell ref="Z64:Z65"/>
    <mergeCell ref="AA64:AA65"/>
    <mergeCell ref="AB64:AB65"/>
    <mergeCell ref="I62:I75"/>
    <mergeCell ref="P62:P75"/>
    <mergeCell ref="V62:AB62"/>
    <mergeCell ref="AC62:CU62"/>
    <mergeCell ref="J63:J66"/>
    <mergeCell ref="Q63:Q66"/>
    <mergeCell ref="V63:AB63"/>
    <mergeCell ref="AC63:CU63"/>
    <mergeCell ref="CV64:CV65"/>
    <mergeCell ref="AG64:AG65"/>
    <mergeCell ref="AH64:AH65"/>
    <mergeCell ref="AF64:AF65"/>
    <mergeCell ref="F78:F95"/>
    <mergeCell ref="V78:AB78"/>
    <mergeCell ref="AC78:CU78"/>
    <mergeCell ref="G79:G94"/>
    <mergeCell ref="V79:AB79"/>
    <mergeCell ref="AC79:CU79"/>
    <mergeCell ref="H80:H94"/>
    <mergeCell ref="AI82:AI83"/>
    <mergeCell ref="K82:K83"/>
    <mergeCell ref="Y82:Y83"/>
    <mergeCell ref="Z82:Z83"/>
    <mergeCell ref="AA82:AA83"/>
    <mergeCell ref="AB82:AB83"/>
    <mergeCell ref="I80:I93"/>
    <mergeCell ref="P80:P93"/>
    <mergeCell ref="V80:AB80"/>
    <mergeCell ref="AC80:CU80"/>
    <mergeCell ref="J81:J84"/>
    <mergeCell ref="Q81:Q84"/>
    <mergeCell ref="V81:AB81"/>
    <mergeCell ref="AC81:CU81"/>
    <mergeCell ref="CV82:CV83"/>
    <mergeCell ref="AG82:AG83"/>
    <mergeCell ref="AH82:AH83"/>
    <mergeCell ref="AF82:AF83"/>
    <mergeCell ref="F96:F113"/>
    <mergeCell ref="V96:AB96"/>
    <mergeCell ref="AC96:CU96"/>
    <mergeCell ref="G97:G112"/>
    <mergeCell ref="V97:AB97"/>
    <mergeCell ref="AC97:CU97"/>
    <mergeCell ref="H98:H112"/>
    <mergeCell ref="AI100:AI101"/>
    <mergeCell ref="K100:K101"/>
    <mergeCell ref="Y100:Y101"/>
    <mergeCell ref="Z100:Z101"/>
    <mergeCell ref="AA100:AA101"/>
    <mergeCell ref="AB100:AB101"/>
    <mergeCell ref="I98:I111"/>
    <mergeCell ref="P98:P111"/>
    <mergeCell ref="V98:AB98"/>
    <mergeCell ref="AC98:CU98"/>
    <mergeCell ref="J99:J102"/>
    <mergeCell ref="Q99:Q102"/>
    <mergeCell ref="V99:AB99"/>
    <mergeCell ref="AC99:CU99"/>
    <mergeCell ref="CV100:CV101"/>
    <mergeCell ref="AG100:AG101"/>
    <mergeCell ref="AH100:AH101"/>
    <mergeCell ref="AF100:AF101"/>
    <mergeCell ref="F114:F131"/>
    <mergeCell ref="V114:AB114"/>
    <mergeCell ref="AC114:CU114"/>
    <mergeCell ref="G115:G130"/>
    <mergeCell ref="V115:AB115"/>
    <mergeCell ref="AC115:CU115"/>
    <mergeCell ref="H116:H130"/>
    <mergeCell ref="AI118:AI119"/>
    <mergeCell ref="K118:K119"/>
    <mergeCell ref="Y118:Y119"/>
    <mergeCell ref="Z118:Z119"/>
    <mergeCell ref="AA118:AA119"/>
    <mergeCell ref="AB118:AB119"/>
    <mergeCell ref="I116:I129"/>
    <mergeCell ref="P116:P129"/>
    <mergeCell ref="V116:AB116"/>
    <mergeCell ref="AC116:CU116"/>
    <mergeCell ref="J117:J120"/>
    <mergeCell ref="Q117:Q120"/>
    <mergeCell ref="V117:AB117"/>
    <mergeCell ref="AC117:CU117"/>
    <mergeCell ref="CV118:CV119"/>
    <mergeCell ref="AG118:AG119"/>
    <mergeCell ref="AH118:AH119"/>
    <mergeCell ref="AF118:AF119"/>
    <mergeCell ref="F132:F169"/>
    <mergeCell ref="V132:AB132"/>
    <mergeCell ref="AC132:CU132"/>
    <mergeCell ref="G133:G152"/>
    <mergeCell ref="V133:AB133"/>
    <mergeCell ref="AC133:CU133"/>
    <mergeCell ref="H134:H152"/>
    <mergeCell ref="AI136:AI137"/>
    <mergeCell ref="K136:K137"/>
    <mergeCell ref="Y136:Y137"/>
    <mergeCell ref="Z136:Z137"/>
    <mergeCell ref="AA136:AA137"/>
    <mergeCell ref="AB136:AB137"/>
    <mergeCell ref="I134:I151"/>
    <mergeCell ref="P134:P151"/>
    <mergeCell ref="V134:AB134"/>
    <mergeCell ref="AC134:CU134"/>
    <mergeCell ref="J135:J138"/>
    <mergeCell ref="Q135:Q138"/>
    <mergeCell ref="V135:AB135"/>
    <mergeCell ref="AC135:CU135"/>
    <mergeCell ref="CV136:CV137"/>
    <mergeCell ref="AG136:AG137"/>
    <mergeCell ref="AH136:AH137"/>
    <mergeCell ref="AF136:AF137"/>
    <mergeCell ref="G153:G168"/>
    <mergeCell ref="V153:AB153"/>
    <mergeCell ref="AC153:CU153"/>
    <mergeCell ref="H154:H168"/>
    <mergeCell ref="AI156:AI157"/>
    <mergeCell ref="K156:K157"/>
    <mergeCell ref="Y156:Y157"/>
    <mergeCell ref="Z156:Z157"/>
    <mergeCell ref="AA156:AA157"/>
    <mergeCell ref="AB156:AB157"/>
    <mergeCell ref="I154:I167"/>
    <mergeCell ref="P154:P167"/>
    <mergeCell ref="V154:AB154"/>
    <mergeCell ref="AC154:CU154"/>
    <mergeCell ref="J155:J158"/>
    <mergeCell ref="Q155:Q158"/>
    <mergeCell ref="V155:AB155"/>
    <mergeCell ref="AC155:CU155"/>
    <mergeCell ref="CV156:CV157"/>
    <mergeCell ref="AG156:AG157"/>
    <mergeCell ref="AH156:AH157"/>
    <mergeCell ref="AF156:AF157"/>
    <mergeCell ref="F170:F187"/>
    <mergeCell ref="V170:AB170"/>
    <mergeCell ref="AC170:CU170"/>
    <mergeCell ref="G171:G186"/>
    <mergeCell ref="V171:AB171"/>
    <mergeCell ref="AC171:CU171"/>
    <mergeCell ref="H172:H186"/>
    <mergeCell ref="AI174:AI175"/>
    <mergeCell ref="K174:K175"/>
    <mergeCell ref="Y174:Y175"/>
    <mergeCell ref="Z174:Z175"/>
    <mergeCell ref="AA174:AA175"/>
    <mergeCell ref="AB174:AB175"/>
    <mergeCell ref="I172:I185"/>
    <mergeCell ref="P172:P185"/>
    <mergeCell ref="V172:AB172"/>
    <mergeCell ref="AC172:CU172"/>
    <mergeCell ref="J173:J176"/>
    <mergeCell ref="Q173:Q176"/>
    <mergeCell ref="V173:AB173"/>
    <mergeCell ref="AC173:CU173"/>
    <mergeCell ref="CV174:CV175"/>
    <mergeCell ref="AG174:AG175"/>
    <mergeCell ref="AH174:AH175"/>
    <mergeCell ref="AF174:AF175"/>
    <mergeCell ref="F188:F205"/>
    <mergeCell ref="V188:AB188"/>
    <mergeCell ref="AC188:CU188"/>
    <mergeCell ref="G189:G204"/>
    <mergeCell ref="V189:AB189"/>
    <mergeCell ref="AC189:CU189"/>
    <mergeCell ref="H190:H204"/>
    <mergeCell ref="AI192:AI193"/>
    <mergeCell ref="K192:K193"/>
    <mergeCell ref="Y192:Y193"/>
    <mergeCell ref="Z192:Z193"/>
    <mergeCell ref="AA192:AA193"/>
    <mergeCell ref="AB192:AB193"/>
    <mergeCell ref="I190:I203"/>
    <mergeCell ref="P190:P203"/>
    <mergeCell ref="V190:AB190"/>
    <mergeCell ref="AC190:CU190"/>
    <mergeCell ref="J191:J194"/>
    <mergeCell ref="Q191:Q194"/>
    <mergeCell ref="V191:AB191"/>
    <mergeCell ref="AC191:CU191"/>
    <mergeCell ref="CV192:CV193"/>
    <mergeCell ref="AG192:AG193"/>
    <mergeCell ref="AH192:AH193"/>
    <mergeCell ref="AF192:AF193"/>
    <mergeCell ref="F206:F223"/>
    <mergeCell ref="V206:AB206"/>
    <mergeCell ref="AC206:CU206"/>
    <mergeCell ref="G207:G222"/>
    <mergeCell ref="V207:AB207"/>
    <mergeCell ref="AC207:CU207"/>
    <mergeCell ref="H208:H222"/>
    <mergeCell ref="AI210:AI211"/>
    <mergeCell ref="K210:K211"/>
    <mergeCell ref="Y210:Y211"/>
    <mergeCell ref="Z210:Z211"/>
    <mergeCell ref="AA210:AA211"/>
    <mergeCell ref="AB210:AB211"/>
    <mergeCell ref="I208:I221"/>
    <mergeCell ref="P208:P221"/>
    <mergeCell ref="V208:AB208"/>
    <mergeCell ref="AC208:CU208"/>
    <mergeCell ref="J209:J212"/>
    <mergeCell ref="Q209:Q212"/>
    <mergeCell ref="V209:AB209"/>
    <mergeCell ref="AC209:CU209"/>
    <mergeCell ref="CV210:CV211"/>
    <mergeCell ref="AG210:AG211"/>
    <mergeCell ref="AH210:AH211"/>
    <mergeCell ref="AF210:AF211"/>
    <mergeCell ref="F224:F241"/>
    <mergeCell ref="V224:AB224"/>
    <mergeCell ref="AC224:CU224"/>
    <mergeCell ref="G225:G240"/>
    <mergeCell ref="V225:AB225"/>
    <mergeCell ref="AC225:CU225"/>
    <mergeCell ref="H226:H240"/>
    <mergeCell ref="AI228:AI229"/>
    <mergeCell ref="K228:K229"/>
    <mergeCell ref="Y228:Y229"/>
    <mergeCell ref="Z228:Z229"/>
    <mergeCell ref="AA228:AA229"/>
    <mergeCell ref="AB228:AB229"/>
    <mergeCell ref="I226:I239"/>
    <mergeCell ref="P226:P239"/>
    <mergeCell ref="V226:AB226"/>
    <mergeCell ref="AC226:CU226"/>
    <mergeCell ref="J227:J230"/>
    <mergeCell ref="Q227:Q230"/>
    <mergeCell ref="V227:AB227"/>
    <mergeCell ref="AC227:CU227"/>
    <mergeCell ref="CV228:CV229"/>
    <mergeCell ref="AG228:AG229"/>
    <mergeCell ref="AH228:AH229"/>
    <mergeCell ref="AF228:AF229"/>
    <mergeCell ref="F242:F259"/>
    <mergeCell ref="V242:AB242"/>
    <mergeCell ref="AC242:CU242"/>
    <mergeCell ref="G243:G258"/>
    <mergeCell ref="V243:AB243"/>
    <mergeCell ref="AC243:CU243"/>
    <mergeCell ref="H244:H258"/>
    <mergeCell ref="AI246:AI247"/>
    <mergeCell ref="K246:K247"/>
    <mergeCell ref="Y246:Y247"/>
    <mergeCell ref="Z246:Z247"/>
    <mergeCell ref="AA246:AA247"/>
    <mergeCell ref="AB246:AB247"/>
    <mergeCell ref="I244:I257"/>
    <mergeCell ref="P244:P257"/>
    <mergeCell ref="V244:AB244"/>
    <mergeCell ref="AC244:CU244"/>
    <mergeCell ref="J245:J248"/>
    <mergeCell ref="Q245:Q248"/>
    <mergeCell ref="V245:AB245"/>
    <mergeCell ref="AC245:CU245"/>
    <mergeCell ref="CV246:CV247"/>
    <mergeCell ref="AG246:AG247"/>
    <mergeCell ref="AH246:AH247"/>
    <mergeCell ref="AF246:AF247"/>
    <mergeCell ref="F260:F277"/>
    <mergeCell ref="V260:AB260"/>
    <mergeCell ref="AC260:CU260"/>
    <mergeCell ref="G261:G276"/>
    <mergeCell ref="V261:AB261"/>
    <mergeCell ref="AC261:CU261"/>
    <mergeCell ref="H262:H276"/>
    <mergeCell ref="AI264:AI265"/>
    <mergeCell ref="K264:K265"/>
    <mergeCell ref="Y264:Y265"/>
    <mergeCell ref="Z264:Z265"/>
    <mergeCell ref="AA264:AA265"/>
    <mergeCell ref="AB264:AB265"/>
    <mergeCell ref="I262:I275"/>
    <mergeCell ref="P262:P275"/>
    <mergeCell ref="V262:AB262"/>
    <mergeCell ref="AC262:CU262"/>
    <mergeCell ref="J263:J266"/>
    <mergeCell ref="Q263:Q266"/>
    <mergeCell ref="V263:AB263"/>
    <mergeCell ref="AC263:CU263"/>
    <mergeCell ref="CV264:CV265"/>
    <mergeCell ref="AG264:AG265"/>
    <mergeCell ref="AH264:AH265"/>
    <mergeCell ref="AF264:AF265"/>
    <mergeCell ref="F278:F295"/>
    <mergeCell ref="V278:AB278"/>
    <mergeCell ref="AC278:CU278"/>
    <mergeCell ref="G279:G294"/>
    <mergeCell ref="V279:AB279"/>
    <mergeCell ref="AC279:CU279"/>
    <mergeCell ref="H280:H294"/>
    <mergeCell ref="AI282:AI283"/>
    <mergeCell ref="K282:K283"/>
    <mergeCell ref="Y282:Y283"/>
    <mergeCell ref="Z282:Z283"/>
    <mergeCell ref="AA282:AA283"/>
    <mergeCell ref="AB282:AB283"/>
    <mergeCell ref="I280:I293"/>
    <mergeCell ref="P280:P293"/>
    <mergeCell ref="V280:AB280"/>
    <mergeCell ref="AC280:CU280"/>
    <mergeCell ref="J281:J284"/>
    <mergeCell ref="Q281:Q284"/>
    <mergeCell ref="V281:AB281"/>
    <mergeCell ref="AC281:CU281"/>
    <mergeCell ref="CV282:CV283"/>
    <mergeCell ref="AG282:AG283"/>
    <mergeCell ref="AH282:AH283"/>
    <mergeCell ref="AF282:AF283"/>
    <mergeCell ref="F296:F313"/>
    <mergeCell ref="V296:AB296"/>
    <mergeCell ref="AC296:CU296"/>
    <mergeCell ref="G297:G312"/>
    <mergeCell ref="V297:AB297"/>
    <mergeCell ref="AC297:CU297"/>
    <mergeCell ref="H298:H312"/>
    <mergeCell ref="AI300:AI301"/>
    <mergeCell ref="K300:K301"/>
    <mergeCell ref="Y300:Y301"/>
    <mergeCell ref="Z300:Z301"/>
    <mergeCell ref="AA300:AA301"/>
    <mergeCell ref="AB300:AB301"/>
    <mergeCell ref="I298:I311"/>
    <mergeCell ref="P298:P311"/>
    <mergeCell ref="V298:AB298"/>
    <mergeCell ref="AC298:CU298"/>
    <mergeCell ref="J299:J302"/>
    <mergeCell ref="Q299:Q302"/>
    <mergeCell ref="V299:AB299"/>
    <mergeCell ref="AC299:CU299"/>
    <mergeCell ref="CV300:CV301"/>
    <mergeCell ref="AG300:AG301"/>
    <mergeCell ref="AH300:AH301"/>
    <mergeCell ref="AF300:AF301"/>
    <mergeCell ref="F314:F331"/>
    <mergeCell ref="V314:AB314"/>
    <mergeCell ref="AC314:CU314"/>
    <mergeCell ref="G315:G330"/>
    <mergeCell ref="V315:AB315"/>
    <mergeCell ref="AC315:CU315"/>
    <mergeCell ref="H316:H330"/>
    <mergeCell ref="AI318:AI319"/>
    <mergeCell ref="K318:K319"/>
    <mergeCell ref="Y318:Y319"/>
    <mergeCell ref="Z318:Z319"/>
    <mergeCell ref="AA318:AA319"/>
    <mergeCell ref="AB318:AB319"/>
    <mergeCell ref="I316:I329"/>
    <mergeCell ref="P316:P329"/>
    <mergeCell ref="V316:AB316"/>
    <mergeCell ref="AC316:CU316"/>
    <mergeCell ref="J317:J320"/>
    <mergeCell ref="Q317:Q320"/>
    <mergeCell ref="V317:AB317"/>
    <mergeCell ref="AC317:CU317"/>
    <mergeCell ref="CV318:CV319"/>
    <mergeCell ref="AG318:AG319"/>
    <mergeCell ref="AH318:AH319"/>
    <mergeCell ref="AF318:AF319"/>
    <mergeCell ref="F332:F349"/>
    <mergeCell ref="V332:AB332"/>
    <mergeCell ref="AC332:CU332"/>
    <mergeCell ref="G333:G348"/>
    <mergeCell ref="V333:AB333"/>
    <mergeCell ref="AC333:CU333"/>
    <mergeCell ref="H334:H348"/>
    <mergeCell ref="AI336:AI337"/>
    <mergeCell ref="K336:K337"/>
    <mergeCell ref="Y336:Y337"/>
    <mergeCell ref="Z336:Z337"/>
    <mergeCell ref="AA336:AA337"/>
    <mergeCell ref="AB336:AB337"/>
    <mergeCell ref="I334:I347"/>
    <mergeCell ref="P334:P347"/>
    <mergeCell ref="V334:AB334"/>
    <mergeCell ref="AC334:CU334"/>
    <mergeCell ref="J335:J338"/>
    <mergeCell ref="Q335:Q338"/>
    <mergeCell ref="V335:AB335"/>
    <mergeCell ref="AC335:CU335"/>
    <mergeCell ref="CV336:CV337"/>
    <mergeCell ref="AG336:AG337"/>
    <mergeCell ref="AH336:AH337"/>
    <mergeCell ref="AF336:AF337"/>
    <mergeCell ref="F350:F383"/>
    <mergeCell ref="V350:AB350"/>
    <mergeCell ref="AC350:CU350"/>
    <mergeCell ref="G351:G366"/>
    <mergeCell ref="V351:AB351"/>
    <mergeCell ref="AC351:CU351"/>
    <mergeCell ref="H352:H366"/>
    <mergeCell ref="AI354:AI355"/>
    <mergeCell ref="K354:K355"/>
    <mergeCell ref="Y354:Y355"/>
    <mergeCell ref="Z354:Z355"/>
    <mergeCell ref="AA354:AA355"/>
    <mergeCell ref="AB354:AB355"/>
    <mergeCell ref="I352:I365"/>
    <mergeCell ref="P352:P365"/>
    <mergeCell ref="V352:AB352"/>
    <mergeCell ref="AC352:CU352"/>
    <mergeCell ref="J353:J356"/>
    <mergeCell ref="Q353:Q356"/>
    <mergeCell ref="V353:AB353"/>
    <mergeCell ref="AC353:CU353"/>
    <mergeCell ref="CV354:CV355"/>
    <mergeCell ref="AG354:AG355"/>
    <mergeCell ref="AH354:AH355"/>
    <mergeCell ref="AF354:AF355"/>
    <mergeCell ref="G367:G382"/>
    <mergeCell ref="V367:AB367"/>
    <mergeCell ref="AC367:CU367"/>
    <mergeCell ref="H368:H382"/>
    <mergeCell ref="AI370:AI371"/>
    <mergeCell ref="K370:K371"/>
    <mergeCell ref="Y370:Y371"/>
    <mergeCell ref="Z370:Z371"/>
    <mergeCell ref="AA370:AA371"/>
    <mergeCell ref="AB370:AB371"/>
    <mergeCell ref="I368:I381"/>
    <mergeCell ref="P368:P381"/>
    <mergeCell ref="V368:AB368"/>
    <mergeCell ref="AC368:CU368"/>
    <mergeCell ref="J369:J372"/>
    <mergeCell ref="Q369:Q372"/>
    <mergeCell ref="V369:AB369"/>
    <mergeCell ref="AC369:CU369"/>
    <mergeCell ref="CV370:CV371"/>
    <mergeCell ref="AG370:AG371"/>
    <mergeCell ref="AH370:AH371"/>
    <mergeCell ref="AF370:AF371"/>
    <mergeCell ref="AI50:AI51"/>
    <mergeCell ref="K50:K51"/>
    <mergeCell ref="Y50:Y51"/>
    <mergeCell ref="Z50:Z51"/>
    <mergeCell ref="AA50:AA51"/>
    <mergeCell ref="AB50:AB51"/>
    <mergeCell ref="J49:J52"/>
    <mergeCell ref="Q49:Q52"/>
    <mergeCell ref="V49:AB49"/>
    <mergeCell ref="AC49:CU49"/>
    <mergeCell ref="CV50:CV51"/>
    <mergeCell ref="AG50:AG51"/>
    <mergeCell ref="AH50:AH51"/>
    <mergeCell ref="AF50:AF51"/>
    <mergeCell ref="AI54:AI55"/>
    <mergeCell ref="K54:K55"/>
    <mergeCell ref="Y54:Y55"/>
    <mergeCell ref="Z54:Z55"/>
    <mergeCell ref="AA54:AA55"/>
    <mergeCell ref="AB54:AB55"/>
    <mergeCell ref="J53:J56"/>
    <mergeCell ref="Q53:Q56"/>
    <mergeCell ref="V53:AB53"/>
    <mergeCell ref="AC53:CU53"/>
    <mergeCell ref="CV54:CV55"/>
    <mergeCell ref="AG54:AG55"/>
    <mergeCell ref="AH54:AH55"/>
    <mergeCell ref="AF54:AF55"/>
    <mergeCell ref="AI68:AI69"/>
    <mergeCell ref="K68:K69"/>
    <mergeCell ref="Y68:Y69"/>
    <mergeCell ref="Z68:Z69"/>
    <mergeCell ref="AA68:AA69"/>
    <mergeCell ref="AB68:AB69"/>
    <mergeCell ref="J67:J70"/>
    <mergeCell ref="Q67:Q70"/>
    <mergeCell ref="V67:AB67"/>
    <mergeCell ref="AC67:CU67"/>
    <mergeCell ref="CV68:CV69"/>
    <mergeCell ref="AG68:AG69"/>
    <mergeCell ref="AH68:AH69"/>
    <mergeCell ref="AF68:AF69"/>
    <mergeCell ref="AI72:AI73"/>
    <mergeCell ref="K72:K73"/>
    <mergeCell ref="Y72:Y73"/>
    <mergeCell ref="Z72:Z73"/>
    <mergeCell ref="AA72:AA73"/>
    <mergeCell ref="AB72:AB73"/>
    <mergeCell ref="J71:J74"/>
    <mergeCell ref="Q71:Q74"/>
    <mergeCell ref="V71:AB71"/>
    <mergeCell ref="AC71:CU71"/>
    <mergeCell ref="CV72:CV73"/>
    <mergeCell ref="AG72:AG73"/>
    <mergeCell ref="AH72:AH73"/>
    <mergeCell ref="AF72:AF73"/>
    <mergeCell ref="AI86:AI87"/>
    <mergeCell ref="K86:K87"/>
    <mergeCell ref="Y86:Y87"/>
    <mergeCell ref="Z86:Z87"/>
    <mergeCell ref="AA86:AA87"/>
    <mergeCell ref="AB86:AB87"/>
    <mergeCell ref="J85:J88"/>
    <mergeCell ref="Q85:Q88"/>
    <mergeCell ref="V85:AB85"/>
    <mergeCell ref="AC85:CU85"/>
    <mergeCell ref="CV86:CV87"/>
    <mergeCell ref="AG86:AG87"/>
    <mergeCell ref="AH86:AH87"/>
    <mergeCell ref="AF86:AF87"/>
    <mergeCell ref="AI90:AI91"/>
    <mergeCell ref="K90:K91"/>
    <mergeCell ref="Y90:Y91"/>
    <mergeCell ref="Z90:Z91"/>
    <mergeCell ref="AA90:AA91"/>
    <mergeCell ref="AB90:AB91"/>
    <mergeCell ref="J89:J92"/>
    <mergeCell ref="Q89:Q92"/>
    <mergeCell ref="V89:AB89"/>
    <mergeCell ref="AC89:CU89"/>
    <mergeCell ref="CV90:CV91"/>
    <mergeCell ref="AG90:AG91"/>
    <mergeCell ref="AH90:AH91"/>
    <mergeCell ref="AF90:AF91"/>
    <mergeCell ref="AI104:AI105"/>
    <mergeCell ref="K104:K105"/>
    <mergeCell ref="Y104:Y105"/>
    <mergeCell ref="Z104:Z105"/>
    <mergeCell ref="AA104:AA105"/>
    <mergeCell ref="AB104:AB105"/>
    <mergeCell ref="J103:J106"/>
    <mergeCell ref="Q103:Q106"/>
    <mergeCell ref="V103:AB103"/>
    <mergeCell ref="AC103:CU103"/>
    <mergeCell ref="CV104:CV105"/>
    <mergeCell ref="AG104:AG105"/>
    <mergeCell ref="AH104:AH105"/>
    <mergeCell ref="AF104:AF105"/>
    <mergeCell ref="AI108:AI109"/>
    <mergeCell ref="K108:K109"/>
    <mergeCell ref="Y108:Y109"/>
    <mergeCell ref="Z108:Z109"/>
    <mergeCell ref="AA108:AA109"/>
    <mergeCell ref="AB108:AB109"/>
    <mergeCell ref="J107:J110"/>
    <mergeCell ref="Q107:Q110"/>
    <mergeCell ref="V107:AB107"/>
    <mergeCell ref="AC107:CU107"/>
    <mergeCell ref="CV108:CV109"/>
    <mergeCell ref="AG108:AG109"/>
    <mergeCell ref="AH108:AH109"/>
    <mergeCell ref="AF108:AF109"/>
    <mergeCell ref="AI122:AI123"/>
    <mergeCell ref="K122:K123"/>
    <mergeCell ref="Y122:Y123"/>
    <mergeCell ref="Z122:Z123"/>
    <mergeCell ref="AA122:AA123"/>
    <mergeCell ref="AB122:AB123"/>
    <mergeCell ref="J121:J124"/>
    <mergeCell ref="Q121:Q124"/>
    <mergeCell ref="V121:AB121"/>
    <mergeCell ref="AC121:CU121"/>
    <mergeCell ref="CV122:CV123"/>
    <mergeCell ref="AG122:AG123"/>
    <mergeCell ref="AH122:AH123"/>
    <mergeCell ref="AF122:AF123"/>
    <mergeCell ref="AI126:AI127"/>
    <mergeCell ref="K126:K127"/>
    <mergeCell ref="Y126:Y127"/>
    <mergeCell ref="Z126:Z127"/>
    <mergeCell ref="AA126:AA127"/>
    <mergeCell ref="AB126:AB127"/>
    <mergeCell ref="J125:J128"/>
    <mergeCell ref="Q125:Q128"/>
    <mergeCell ref="V125:AB125"/>
    <mergeCell ref="AC125:CU125"/>
    <mergeCell ref="CV126:CV127"/>
    <mergeCell ref="AG126:AG127"/>
    <mergeCell ref="AH126:AH127"/>
    <mergeCell ref="AF126:AF127"/>
    <mergeCell ref="AI140:AI141"/>
    <mergeCell ref="K140:K141"/>
    <mergeCell ref="Y140:Y141"/>
    <mergeCell ref="Z140:Z141"/>
    <mergeCell ref="AA140:AA141"/>
    <mergeCell ref="AB140:AB141"/>
    <mergeCell ref="J139:J142"/>
    <mergeCell ref="Q139:Q142"/>
    <mergeCell ref="V139:AB139"/>
    <mergeCell ref="AC139:CU139"/>
    <mergeCell ref="CV140:CV141"/>
    <mergeCell ref="AG140:AG141"/>
    <mergeCell ref="AH140:AH141"/>
    <mergeCell ref="AF140:AF141"/>
    <mergeCell ref="AI144:AI145"/>
    <mergeCell ref="K144:K145"/>
    <mergeCell ref="Y144:Y145"/>
    <mergeCell ref="Z144:Z145"/>
    <mergeCell ref="AA144:AA145"/>
    <mergeCell ref="AB144:AB145"/>
    <mergeCell ref="J143:J146"/>
    <mergeCell ref="Q143:Q146"/>
    <mergeCell ref="V143:AB143"/>
    <mergeCell ref="AC143:CU143"/>
    <mergeCell ref="CV144:CV145"/>
    <mergeCell ref="AG144:AG145"/>
    <mergeCell ref="AH144:AH145"/>
    <mergeCell ref="AF144:AF145"/>
    <mergeCell ref="AI148:AI149"/>
    <mergeCell ref="K148:K149"/>
    <mergeCell ref="Y148:Y149"/>
    <mergeCell ref="Z148:Z149"/>
    <mergeCell ref="AA148:AA149"/>
    <mergeCell ref="AB148:AB149"/>
    <mergeCell ref="J147:J150"/>
    <mergeCell ref="Q147:Q150"/>
    <mergeCell ref="V147:AB147"/>
    <mergeCell ref="AC147:CU147"/>
    <mergeCell ref="CV148:CV149"/>
    <mergeCell ref="AG148:AG149"/>
    <mergeCell ref="AH148:AH149"/>
    <mergeCell ref="AF148:AF149"/>
    <mergeCell ref="AI160:AI161"/>
    <mergeCell ref="K160:K161"/>
    <mergeCell ref="Y160:Y161"/>
    <mergeCell ref="Z160:Z161"/>
    <mergeCell ref="AA160:AA161"/>
    <mergeCell ref="AB160:AB161"/>
    <mergeCell ref="J159:J162"/>
    <mergeCell ref="Q159:Q162"/>
    <mergeCell ref="V159:AB159"/>
    <mergeCell ref="AC159:CU159"/>
    <mergeCell ref="CV160:CV161"/>
    <mergeCell ref="AG160:AG161"/>
    <mergeCell ref="AH160:AH161"/>
    <mergeCell ref="AF160:AF161"/>
    <mergeCell ref="AI164:AI165"/>
    <mergeCell ref="K164:K165"/>
    <mergeCell ref="Y164:Y165"/>
    <mergeCell ref="Z164:Z165"/>
    <mergeCell ref="AA164:AA165"/>
    <mergeCell ref="AB164:AB165"/>
    <mergeCell ref="J163:J166"/>
    <mergeCell ref="Q163:Q166"/>
    <mergeCell ref="V163:AB163"/>
    <mergeCell ref="AC163:CU163"/>
    <mergeCell ref="CV164:CV165"/>
    <mergeCell ref="AG164:AG165"/>
    <mergeCell ref="AH164:AH165"/>
    <mergeCell ref="AF164:AF165"/>
    <mergeCell ref="AI178:AI179"/>
    <mergeCell ref="K178:K179"/>
    <mergeCell ref="Y178:Y179"/>
    <mergeCell ref="Z178:Z179"/>
    <mergeCell ref="AA178:AA179"/>
    <mergeCell ref="AB178:AB179"/>
    <mergeCell ref="J177:J180"/>
    <mergeCell ref="Q177:Q180"/>
    <mergeCell ref="V177:AB177"/>
    <mergeCell ref="AC177:CU177"/>
    <mergeCell ref="CV178:CV179"/>
    <mergeCell ref="AG178:AG179"/>
    <mergeCell ref="AH178:AH179"/>
    <mergeCell ref="AF178:AF179"/>
    <mergeCell ref="AI182:AI183"/>
    <mergeCell ref="K182:K183"/>
    <mergeCell ref="Y182:Y183"/>
    <mergeCell ref="Z182:Z183"/>
    <mergeCell ref="AA182:AA183"/>
    <mergeCell ref="AB182:AB183"/>
    <mergeCell ref="J181:J184"/>
    <mergeCell ref="Q181:Q184"/>
    <mergeCell ref="V181:AB181"/>
    <mergeCell ref="AC181:CU181"/>
    <mergeCell ref="CV182:CV183"/>
    <mergeCell ref="AG182:AG183"/>
    <mergeCell ref="AH182:AH183"/>
    <mergeCell ref="AF182:AF183"/>
    <mergeCell ref="AI196:AI197"/>
    <mergeCell ref="K196:K197"/>
    <mergeCell ref="Y196:Y197"/>
    <mergeCell ref="Z196:Z197"/>
    <mergeCell ref="AA196:AA197"/>
    <mergeCell ref="AB196:AB197"/>
    <mergeCell ref="J195:J198"/>
    <mergeCell ref="Q195:Q198"/>
    <mergeCell ref="V195:AB195"/>
    <mergeCell ref="AC195:CU195"/>
    <mergeCell ref="CV196:CV197"/>
    <mergeCell ref="AG196:AG197"/>
    <mergeCell ref="AH196:AH197"/>
    <mergeCell ref="AF196:AF197"/>
    <mergeCell ref="AI200:AI201"/>
    <mergeCell ref="K200:K201"/>
    <mergeCell ref="Y200:Y201"/>
    <mergeCell ref="Z200:Z201"/>
    <mergeCell ref="AA200:AA201"/>
    <mergeCell ref="AB200:AB201"/>
    <mergeCell ref="J199:J202"/>
    <mergeCell ref="Q199:Q202"/>
    <mergeCell ref="V199:AB199"/>
    <mergeCell ref="AC199:CU199"/>
    <mergeCell ref="CV200:CV201"/>
    <mergeCell ref="AG200:AG201"/>
    <mergeCell ref="AH200:AH201"/>
    <mergeCell ref="AF200:AF201"/>
    <mergeCell ref="AI214:AI215"/>
    <mergeCell ref="K214:K215"/>
    <mergeCell ref="Y214:Y215"/>
    <mergeCell ref="Z214:Z215"/>
    <mergeCell ref="AA214:AA215"/>
    <mergeCell ref="AB214:AB215"/>
    <mergeCell ref="J213:J216"/>
    <mergeCell ref="Q213:Q216"/>
    <mergeCell ref="V213:AB213"/>
    <mergeCell ref="AC213:CU213"/>
    <mergeCell ref="CV214:CV215"/>
    <mergeCell ref="AG214:AG215"/>
    <mergeCell ref="AH214:AH215"/>
    <mergeCell ref="AF214:AF215"/>
    <mergeCell ref="AI218:AI219"/>
    <mergeCell ref="K218:K219"/>
    <mergeCell ref="Y218:Y219"/>
    <mergeCell ref="Z218:Z219"/>
    <mergeCell ref="AA218:AA219"/>
    <mergeCell ref="AB218:AB219"/>
    <mergeCell ref="J217:J220"/>
    <mergeCell ref="Q217:Q220"/>
    <mergeCell ref="V217:AB217"/>
    <mergeCell ref="AC217:CU217"/>
    <mergeCell ref="CV218:CV219"/>
    <mergeCell ref="AG218:AG219"/>
    <mergeCell ref="AH218:AH219"/>
    <mergeCell ref="AF218:AF219"/>
    <mergeCell ref="AI232:AI233"/>
    <mergeCell ref="K232:K233"/>
    <mergeCell ref="Y232:Y233"/>
    <mergeCell ref="Z232:Z233"/>
    <mergeCell ref="AA232:AA233"/>
    <mergeCell ref="AB232:AB233"/>
    <mergeCell ref="J231:J234"/>
    <mergeCell ref="Q231:Q234"/>
    <mergeCell ref="V231:AB231"/>
    <mergeCell ref="AC231:CU231"/>
    <mergeCell ref="CV232:CV233"/>
    <mergeCell ref="AG232:AG233"/>
    <mergeCell ref="AH232:AH233"/>
    <mergeCell ref="AF232:AF233"/>
    <mergeCell ref="AI236:AI237"/>
    <mergeCell ref="K236:K237"/>
    <mergeCell ref="Y236:Y237"/>
    <mergeCell ref="Z236:Z237"/>
    <mergeCell ref="AA236:AA237"/>
    <mergeCell ref="AB236:AB237"/>
    <mergeCell ref="J235:J238"/>
    <mergeCell ref="Q235:Q238"/>
    <mergeCell ref="V235:AB235"/>
    <mergeCell ref="AC235:CU235"/>
    <mergeCell ref="CV236:CV237"/>
    <mergeCell ref="AG236:AG237"/>
    <mergeCell ref="AH236:AH237"/>
    <mergeCell ref="AF236:AF237"/>
    <mergeCell ref="AI250:AI251"/>
    <mergeCell ref="K250:K251"/>
    <mergeCell ref="Y250:Y251"/>
    <mergeCell ref="Z250:Z251"/>
    <mergeCell ref="AA250:AA251"/>
    <mergeCell ref="AB250:AB251"/>
    <mergeCell ref="J249:J252"/>
    <mergeCell ref="Q249:Q252"/>
    <mergeCell ref="V249:AB249"/>
    <mergeCell ref="AC249:CU249"/>
    <mergeCell ref="CV250:CV251"/>
    <mergeCell ref="AG250:AG251"/>
    <mergeCell ref="AH250:AH251"/>
    <mergeCell ref="AF250:AF251"/>
    <mergeCell ref="AI254:AI255"/>
    <mergeCell ref="K254:K255"/>
    <mergeCell ref="Y254:Y255"/>
    <mergeCell ref="Z254:Z255"/>
    <mergeCell ref="AA254:AA255"/>
    <mergeCell ref="AB254:AB255"/>
    <mergeCell ref="J253:J256"/>
    <mergeCell ref="Q253:Q256"/>
    <mergeCell ref="V253:AB253"/>
    <mergeCell ref="AC253:CU253"/>
    <mergeCell ref="CV254:CV255"/>
    <mergeCell ref="AG254:AG255"/>
    <mergeCell ref="AH254:AH255"/>
    <mergeCell ref="AF254:AF255"/>
    <mergeCell ref="AI268:AI269"/>
    <mergeCell ref="K268:K269"/>
    <mergeCell ref="Y268:Y269"/>
    <mergeCell ref="Z268:Z269"/>
    <mergeCell ref="AA268:AA269"/>
    <mergeCell ref="AB268:AB269"/>
    <mergeCell ref="J267:J270"/>
    <mergeCell ref="Q267:Q270"/>
    <mergeCell ref="V267:AB267"/>
    <mergeCell ref="AC267:CU267"/>
    <mergeCell ref="CV268:CV269"/>
    <mergeCell ref="AG268:AG269"/>
    <mergeCell ref="AH268:AH269"/>
    <mergeCell ref="AF268:AF269"/>
    <mergeCell ref="AI272:AI273"/>
    <mergeCell ref="K272:K273"/>
    <mergeCell ref="Y272:Y273"/>
    <mergeCell ref="Z272:Z273"/>
    <mergeCell ref="AA272:AA273"/>
    <mergeCell ref="AB272:AB273"/>
    <mergeCell ref="J271:J274"/>
    <mergeCell ref="Q271:Q274"/>
    <mergeCell ref="V271:AB271"/>
    <mergeCell ref="AC271:CU271"/>
    <mergeCell ref="CV272:CV273"/>
    <mergeCell ref="AG272:AG273"/>
    <mergeCell ref="AH272:AH273"/>
    <mergeCell ref="AF272:AF273"/>
    <mergeCell ref="AI286:AI287"/>
    <mergeCell ref="K286:K287"/>
    <mergeCell ref="Y286:Y287"/>
    <mergeCell ref="Z286:Z287"/>
    <mergeCell ref="AA286:AA287"/>
    <mergeCell ref="AB286:AB287"/>
    <mergeCell ref="J285:J288"/>
    <mergeCell ref="Q285:Q288"/>
    <mergeCell ref="V285:AB285"/>
    <mergeCell ref="AC285:CU285"/>
    <mergeCell ref="CV286:CV287"/>
    <mergeCell ref="AG286:AG287"/>
    <mergeCell ref="AH286:AH287"/>
    <mergeCell ref="AF286:AF287"/>
    <mergeCell ref="AI290:AI291"/>
    <mergeCell ref="K290:K291"/>
    <mergeCell ref="Y290:Y291"/>
    <mergeCell ref="Z290:Z291"/>
    <mergeCell ref="AA290:AA291"/>
    <mergeCell ref="AB290:AB291"/>
    <mergeCell ref="J289:J292"/>
    <mergeCell ref="Q289:Q292"/>
    <mergeCell ref="V289:AB289"/>
    <mergeCell ref="AC289:CU289"/>
    <mergeCell ref="CV290:CV291"/>
    <mergeCell ref="AG290:AG291"/>
    <mergeCell ref="AH290:AH291"/>
    <mergeCell ref="AF290:AF291"/>
    <mergeCell ref="AI304:AI305"/>
    <mergeCell ref="K304:K305"/>
    <mergeCell ref="Y304:Y305"/>
    <mergeCell ref="Z304:Z305"/>
    <mergeCell ref="AA304:AA305"/>
    <mergeCell ref="AB304:AB305"/>
    <mergeCell ref="J303:J306"/>
    <mergeCell ref="Q303:Q306"/>
    <mergeCell ref="V303:AB303"/>
    <mergeCell ref="AC303:CU303"/>
    <mergeCell ref="CV304:CV305"/>
    <mergeCell ref="AG304:AG305"/>
    <mergeCell ref="AH304:AH305"/>
    <mergeCell ref="AF304:AF305"/>
    <mergeCell ref="AI308:AI309"/>
    <mergeCell ref="K308:K309"/>
    <mergeCell ref="Y308:Y309"/>
    <mergeCell ref="Z308:Z309"/>
    <mergeCell ref="AA308:AA309"/>
    <mergeCell ref="AB308:AB309"/>
    <mergeCell ref="J307:J310"/>
    <mergeCell ref="Q307:Q310"/>
    <mergeCell ref="V307:AB307"/>
    <mergeCell ref="AC307:CU307"/>
    <mergeCell ref="CV308:CV309"/>
    <mergeCell ref="AG308:AG309"/>
    <mergeCell ref="AH308:AH309"/>
    <mergeCell ref="AF308:AF309"/>
    <mergeCell ref="AI322:AI323"/>
    <mergeCell ref="K322:K323"/>
    <mergeCell ref="Y322:Y323"/>
    <mergeCell ref="Z322:Z323"/>
    <mergeCell ref="AA322:AA323"/>
    <mergeCell ref="AB322:AB323"/>
    <mergeCell ref="J321:J324"/>
    <mergeCell ref="Q321:Q324"/>
    <mergeCell ref="V321:AB321"/>
    <mergeCell ref="AC321:CU321"/>
    <mergeCell ref="CV322:CV323"/>
    <mergeCell ref="AG322:AG323"/>
    <mergeCell ref="AH322:AH323"/>
    <mergeCell ref="AF322:AF323"/>
    <mergeCell ref="AI326:AI327"/>
    <mergeCell ref="K326:K327"/>
    <mergeCell ref="Y326:Y327"/>
    <mergeCell ref="Z326:Z327"/>
    <mergeCell ref="AA326:AA327"/>
    <mergeCell ref="AB326:AB327"/>
    <mergeCell ref="J325:J328"/>
    <mergeCell ref="Q325:Q328"/>
    <mergeCell ref="V325:AB325"/>
    <mergeCell ref="AC325:CU325"/>
    <mergeCell ref="CV326:CV327"/>
    <mergeCell ref="AG326:AG327"/>
    <mergeCell ref="AH326:AH327"/>
    <mergeCell ref="AF326:AF327"/>
    <mergeCell ref="AI340:AI341"/>
    <mergeCell ref="K340:K341"/>
    <mergeCell ref="Y340:Y341"/>
    <mergeCell ref="Z340:Z341"/>
    <mergeCell ref="AA340:AA341"/>
    <mergeCell ref="AB340:AB341"/>
    <mergeCell ref="J339:J342"/>
    <mergeCell ref="Q339:Q342"/>
    <mergeCell ref="V339:AB339"/>
    <mergeCell ref="AC339:CU339"/>
    <mergeCell ref="CV340:CV341"/>
    <mergeCell ref="AG340:AG341"/>
    <mergeCell ref="AH340:AH341"/>
    <mergeCell ref="AF340:AF341"/>
    <mergeCell ref="AI344:AI345"/>
    <mergeCell ref="K344:K345"/>
    <mergeCell ref="Y344:Y345"/>
    <mergeCell ref="Z344:Z345"/>
    <mergeCell ref="AA344:AA345"/>
    <mergeCell ref="AB344:AB345"/>
    <mergeCell ref="J343:J346"/>
    <mergeCell ref="Q343:Q346"/>
    <mergeCell ref="V343:AB343"/>
    <mergeCell ref="AC343:CU343"/>
    <mergeCell ref="CV344:CV345"/>
    <mergeCell ref="AG344:AG345"/>
    <mergeCell ref="AH344:AH345"/>
    <mergeCell ref="AF344:AF345"/>
    <mergeCell ref="AI358:AI359"/>
    <mergeCell ref="K358:K359"/>
    <mergeCell ref="Y358:Y359"/>
    <mergeCell ref="Z358:Z359"/>
    <mergeCell ref="AA358:AA359"/>
    <mergeCell ref="AB358:AB359"/>
    <mergeCell ref="J357:J360"/>
    <mergeCell ref="Q357:Q360"/>
    <mergeCell ref="V357:AB357"/>
    <mergeCell ref="AC357:CU357"/>
    <mergeCell ref="CV358:CV359"/>
    <mergeCell ref="AG358:AG359"/>
    <mergeCell ref="AH358:AH359"/>
    <mergeCell ref="AF358:AF359"/>
    <mergeCell ref="AI362:AI363"/>
    <mergeCell ref="K362:K363"/>
    <mergeCell ref="Y362:Y363"/>
    <mergeCell ref="Z362:Z363"/>
    <mergeCell ref="AA362:AA363"/>
    <mergeCell ref="AB362:AB363"/>
    <mergeCell ref="J361:J364"/>
    <mergeCell ref="Q361:Q364"/>
    <mergeCell ref="V361:AB361"/>
    <mergeCell ref="AC361:CU361"/>
    <mergeCell ref="CV362:CV363"/>
    <mergeCell ref="AG362:AG363"/>
    <mergeCell ref="AH362:AH363"/>
    <mergeCell ref="AF362:AF363"/>
    <mergeCell ref="AI374:AI375"/>
    <mergeCell ref="K374:K375"/>
    <mergeCell ref="Y374:Y375"/>
    <mergeCell ref="Z374:Z375"/>
    <mergeCell ref="AA374:AA375"/>
    <mergeCell ref="AB374:AB375"/>
    <mergeCell ref="J373:J376"/>
    <mergeCell ref="Q373:Q376"/>
    <mergeCell ref="V373:AB373"/>
    <mergeCell ref="AC373:CU373"/>
    <mergeCell ref="CV374:CV375"/>
    <mergeCell ref="AG374:AG375"/>
    <mergeCell ref="AH374:AH375"/>
    <mergeCell ref="AF374:AF375"/>
    <mergeCell ref="AI378:AI379"/>
    <mergeCell ref="K378:K379"/>
    <mergeCell ref="Y378:Y379"/>
    <mergeCell ref="Z378:Z379"/>
    <mergeCell ref="AA378:AA379"/>
    <mergeCell ref="AB378:AB379"/>
    <mergeCell ref="J377:J380"/>
    <mergeCell ref="Q377:Q380"/>
    <mergeCell ref="V377:AB377"/>
    <mergeCell ref="AC377:CU377"/>
    <mergeCell ref="CV378:CV379"/>
    <mergeCell ref="AG378:AG379"/>
    <mergeCell ref="AH378:AH379"/>
    <mergeCell ref="AF378:AF379"/>
    <mergeCell ref="AM7:AM8"/>
    <mergeCell ref="AN7:AN8"/>
    <mergeCell ref="AO7:AO8"/>
    <mergeCell ref="AP7:AP8"/>
    <mergeCell ref="AJ27:AO27"/>
    <mergeCell ref="AJ28:AO28"/>
    <mergeCell ref="AJ29:AO29"/>
    <mergeCell ref="AJ30:AO30"/>
    <mergeCell ref="AJ32:AO32"/>
    <mergeCell ref="AJ33:AO33"/>
    <mergeCell ref="AJ35:AP35"/>
    <mergeCell ref="AJ37:AO37"/>
    <mergeCell ref="AP37:AP39"/>
    <mergeCell ref="AK38:AL38"/>
    <mergeCell ref="AM38:AO38"/>
    <mergeCell ref="AN39:AO39"/>
    <mergeCell ref="AN40:AO40"/>
    <mergeCell ref="AM50:AM51"/>
    <mergeCell ref="AN50:AN51"/>
    <mergeCell ref="AO50:AO51"/>
    <mergeCell ref="AP50:AP51"/>
    <mergeCell ref="AM54:AM55"/>
    <mergeCell ref="AN54:AN55"/>
    <mergeCell ref="AO54:AO55"/>
    <mergeCell ref="AP54:AP55"/>
    <mergeCell ref="AM64:AM65"/>
    <mergeCell ref="AN64:AN65"/>
    <mergeCell ref="AO64:AO65"/>
    <mergeCell ref="AP64:AP65"/>
    <mergeCell ref="AM68:AM69"/>
    <mergeCell ref="AN68:AN69"/>
    <mergeCell ref="AO68:AO69"/>
    <mergeCell ref="AP68:AP69"/>
    <mergeCell ref="AM72:AM73"/>
    <mergeCell ref="AN72:AN73"/>
    <mergeCell ref="AO72:AO73"/>
    <mergeCell ref="AP72:AP73"/>
    <mergeCell ref="AM82:AM83"/>
    <mergeCell ref="AN82:AN83"/>
    <mergeCell ref="AO82:AO83"/>
    <mergeCell ref="AP82:AP83"/>
    <mergeCell ref="AM86:AM87"/>
    <mergeCell ref="AN86:AN87"/>
    <mergeCell ref="AO86:AO87"/>
    <mergeCell ref="AP86:AP87"/>
    <mergeCell ref="AM90:AM91"/>
    <mergeCell ref="AN90:AN91"/>
    <mergeCell ref="AO90:AO91"/>
    <mergeCell ref="AP90:AP91"/>
    <mergeCell ref="AM100:AM101"/>
    <mergeCell ref="AN100:AN101"/>
    <mergeCell ref="AO100:AO101"/>
    <mergeCell ref="AP100:AP101"/>
    <mergeCell ref="AM104:AM105"/>
    <mergeCell ref="AN104:AN105"/>
    <mergeCell ref="AO104:AO105"/>
    <mergeCell ref="AP104:AP105"/>
    <mergeCell ref="AM108:AM109"/>
    <mergeCell ref="AN108:AN109"/>
    <mergeCell ref="AO108:AO109"/>
    <mergeCell ref="AP108:AP109"/>
    <mergeCell ref="AM118:AM119"/>
    <mergeCell ref="AN118:AN119"/>
    <mergeCell ref="AO118:AO119"/>
    <mergeCell ref="AP118:AP119"/>
    <mergeCell ref="AM122:AM123"/>
    <mergeCell ref="AN122:AN123"/>
    <mergeCell ref="AO122:AO123"/>
    <mergeCell ref="AP122:AP123"/>
    <mergeCell ref="AM126:AM127"/>
    <mergeCell ref="AN126:AN127"/>
    <mergeCell ref="AO126:AO127"/>
    <mergeCell ref="AP126:AP127"/>
    <mergeCell ref="AM136:AM137"/>
    <mergeCell ref="AN136:AN137"/>
    <mergeCell ref="AO136:AO137"/>
    <mergeCell ref="AP136:AP137"/>
    <mergeCell ref="AM140:AM141"/>
    <mergeCell ref="AN140:AN141"/>
    <mergeCell ref="AO140:AO141"/>
    <mergeCell ref="AP140:AP141"/>
    <mergeCell ref="AM144:AM145"/>
    <mergeCell ref="AN144:AN145"/>
    <mergeCell ref="AO144:AO145"/>
    <mergeCell ref="AP144:AP145"/>
    <mergeCell ref="AM148:AM149"/>
    <mergeCell ref="AN148:AN149"/>
    <mergeCell ref="AO148:AO149"/>
    <mergeCell ref="AP148:AP149"/>
    <mergeCell ref="AM156:AM157"/>
    <mergeCell ref="AN156:AN157"/>
    <mergeCell ref="AO156:AO157"/>
    <mergeCell ref="AP156:AP157"/>
    <mergeCell ref="AM160:AM161"/>
    <mergeCell ref="AN160:AN161"/>
    <mergeCell ref="AO160:AO161"/>
    <mergeCell ref="AP160:AP161"/>
    <mergeCell ref="AM164:AM165"/>
    <mergeCell ref="AN164:AN165"/>
    <mergeCell ref="AO164:AO165"/>
    <mergeCell ref="AP164:AP165"/>
    <mergeCell ref="AM174:AM175"/>
    <mergeCell ref="AN174:AN175"/>
    <mergeCell ref="AO174:AO175"/>
    <mergeCell ref="AP174:AP175"/>
    <mergeCell ref="AM178:AM179"/>
    <mergeCell ref="AN178:AN179"/>
    <mergeCell ref="AO178:AO179"/>
    <mergeCell ref="AP178:AP179"/>
    <mergeCell ref="AM182:AM183"/>
    <mergeCell ref="AN182:AN183"/>
    <mergeCell ref="AO182:AO183"/>
    <mergeCell ref="AP182:AP183"/>
    <mergeCell ref="AM192:AM193"/>
    <mergeCell ref="AN192:AN193"/>
    <mergeCell ref="AO192:AO193"/>
    <mergeCell ref="AP192:AP193"/>
    <mergeCell ref="AM196:AM197"/>
    <mergeCell ref="AN196:AN197"/>
    <mergeCell ref="AO196:AO197"/>
    <mergeCell ref="AP196:AP197"/>
    <mergeCell ref="AM200:AM201"/>
    <mergeCell ref="AN200:AN201"/>
    <mergeCell ref="AO200:AO201"/>
    <mergeCell ref="AP200:AP201"/>
    <mergeCell ref="AM210:AM211"/>
    <mergeCell ref="AN210:AN211"/>
    <mergeCell ref="AO210:AO211"/>
    <mergeCell ref="AP210:AP211"/>
    <mergeCell ref="AM214:AM215"/>
    <mergeCell ref="AN214:AN215"/>
    <mergeCell ref="AO214:AO215"/>
    <mergeCell ref="AP214:AP215"/>
    <mergeCell ref="AM218:AM219"/>
    <mergeCell ref="AN218:AN219"/>
    <mergeCell ref="AO218:AO219"/>
    <mergeCell ref="AP218:AP219"/>
    <mergeCell ref="AM228:AM229"/>
    <mergeCell ref="AN228:AN229"/>
    <mergeCell ref="AO228:AO229"/>
    <mergeCell ref="AP228:AP229"/>
    <mergeCell ref="AM232:AM233"/>
    <mergeCell ref="AN232:AN233"/>
    <mergeCell ref="AO232:AO233"/>
    <mergeCell ref="AP232:AP233"/>
    <mergeCell ref="AM236:AM237"/>
    <mergeCell ref="AN236:AN237"/>
    <mergeCell ref="AO236:AO237"/>
    <mergeCell ref="AP236:AP237"/>
    <mergeCell ref="AM246:AM247"/>
    <mergeCell ref="AN246:AN247"/>
    <mergeCell ref="AO246:AO247"/>
    <mergeCell ref="AP246:AP247"/>
    <mergeCell ref="AM250:AM251"/>
    <mergeCell ref="AN250:AN251"/>
    <mergeCell ref="AO250:AO251"/>
    <mergeCell ref="AP250:AP251"/>
    <mergeCell ref="AM254:AM255"/>
    <mergeCell ref="AN254:AN255"/>
    <mergeCell ref="AO254:AO255"/>
    <mergeCell ref="AP254:AP255"/>
    <mergeCell ref="AM264:AM265"/>
    <mergeCell ref="AN264:AN265"/>
    <mergeCell ref="AO264:AO265"/>
    <mergeCell ref="AP264:AP265"/>
    <mergeCell ref="AM268:AM269"/>
    <mergeCell ref="AN268:AN269"/>
    <mergeCell ref="AO268:AO269"/>
    <mergeCell ref="AP268:AP269"/>
    <mergeCell ref="AM272:AM273"/>
    <mergeCell ref="AN272:AN273"/>
    <mergeCell ref="AO272:AO273"/>
    <mergeCell ref="AP272:AP273"/>
    <mergeCell ref="AM282:AM283"/>
    <mergeCell ref="AN282:AN283"/>
    <mergeCell ref="AO282:AO283"/>
    <mergeCell ref="AP282:AP283"/>
    <mergeCell ref="AM286:AM287"/>
    <mergeCell ref="AN286:AN287"/>
    <mergeCell ref="AO286:AO287"/>
    <mergeCell ref="AP286:AP287"/>
    <mergeCell ref="AM290:AM291"/>
    <mergeCell ref="AN290:AN291"/>
    <mergeCell ref="AO290:AO291"/>
    <mergeCell ref="AP290:AP291"/>
    <mergeCell ref="AM300:AM301"/>
    <mergeCell ref="AN300:AN301"/>
    <mergeCell ref="AO300:AO301"/>
    <mergeCell ref="AP300:AP301"/>
    <mergeCell ref="AM304:AM305"/>
    <mergeCell ref="AN304:AN305"/>
    <mergeCell ref="AO304:AO305"/>
    <mergeCell ref="AP304:AP305"/>
    <mergeCell ref="AM308:AM309"/>
    <mergeCell ref="AN308:AN309"/>
    <mergeCell ref="AO308:AO309"/>
    <mergeCell ref="AP308:AP309"/>
    <mergeCell ref="AM318:AM319"/>
    <mergeCell ref="AN318:AN319"/>
    <mergeCell ref="AO318:AO319"/>
    <mergeCell ref="AP318:AP319"/>
    <mergeCell ref="AM322:AM323"/>
    <mergeCell ref="AN322:AN323"/>
    <mergeCell ref="AO322:AO323"/>
    <mergeCell ref="AP322:AP323"/>
    <mergeCell ref="AM326:AM327"/>
    <mergeCell ref="AN326:AN327"/>
    <mergeCell ref="AO326:AO327"/>
    <mergeCell ref="AP326:AP327"/>
    <mergeCell ref="AM336:AM337"/>
    <mergeCell ref="AN336:AN337"/>
    <mergeCell ref="AO336:AO337"/>
    <mergeCell ref="AP336:AP337"/>
    <mergeCell ref="AM340:AM341"/>
    <mergeCell ref="AN340:AN341"/>
    <mergeCell ref="AO340:AO341"/>
    <mergeCell ref="AP340:AP341"/>
    <mergeCell ref="AM344:AM345"/>
    <mergeCell ref="AN344:AN345"/>
    <mergeCell ref="AO344:AO345"/>
    <mergeCell ref="AP344:AP345"/>
    <mergeCell ref="AM354:AM355"/>
    <mergeCell ref="AN354:AN355"/>
    <mergeCell ref="AO354:AO355"/>
    <mergeCell ref="AP354:AP355"/>
    <mergeCell ref="AM358:AM359"/>
    <mergeCell ref="AN358:AN359"/>
    <mergeCell ref="AO358:AO359"/>
    <mergeCell ref="AP358:AP359"/>
    <mergeCell ref="AM362:AM363"/>
    <mergeCell ref="AN362:AN363"/>
    <mergeCell ref="AO362:AO363"/>
    <mergeCell ref="AP362:AP363"/>
    <mergeCell ref="AM370:AM371"/>
    <mergeCell ref="AN370:AN371"/>
    <mergeCell ref="AO370:AO371"/>
    <mergeCell ref="AP370:AP371"/>
    <mergeCell ref="AM374:AM375"/>
    <mergeCell ref="AN374:AN375"/>
    <mergeCell ref="AO374:AO375"/>
    <mergeCell ref="AP374:AP375"/>
    <mergeCell ref="AM378:AM379"/>
    <mergeCell ref="AN378:AN379"/>
    <mergeCell ref="AO378:AO379"/>
    <mergeCell ref="AP378:AP379"/>
    <mergeCell ref="AP46:AP47"/>
    <mergeCell ref="AN46:AN47"/>
    <mergeCell ref="AO46:AO47"/>
    <mergeCell ref="AM46:AM47"/>
    <mergeCell ref="AB46:AB47"/>
    <mergeCell ref="Z46:Z47"/>
    <mergeCell ref="AA46:AA47"/>
    <mergeCell ref="Y46:Y47"/>
    <mergeCell ref="AT7:AT8"/>
    <mergeCell ref="AU7:AU8"/>
    <mergeCell ref="AV7:AV8"/>
    <mergeCell ref="AW7:AW8"/>
    <mergeCell ref="AQ27:AV27"/>
    <mergeCell ref="AQ28:AV28"/>
    <mergeCell ref="AQ29:AV29"/>
    <mergeCell ref="AQ30:AV30"/>
    <mergeCell ref="AQ32:AV32"/>
    <mergeCell ref="AQ33:AV33"/>
    <mergeCell ref="AQ35:AW35"/>
    <mergeCell ref="AQ37:AV37"/>
    <mergeCell ref="AW37:AW39"/>
    <mergeCell ref="AR38:AS38"/>
    <mergeCell ref="AT38:AV38"/>
    <mergeCell ref="AU39:AV39"/>
    <mergeCell ref="AU40:AV40"/>
    <mergeCell ref="AT46:AT47"/>
    <mergeCell ref="AU46:AU47"/>
    <mergeCell ref="AV46:AV47"/>
    <mergeCell ref="AW46:AW47"/>
    <mergeCell ref="AT50:AT51"/>
    <mergeCell ref="AU50:AU51"/>
    <mergeCell ref="AV50:AV51"/>
    <mergeCell ref="AW50:AW51"/>
    <mergeCell ref="AT54:AT55"/>
    <mergeCell ref="AU54:AU55"/>
    <mergeCell ref="AV54:AV55"/>
    <mergeCell ref="AW54:AW55"/>
    <mergeCell ref="AT64:AT65"/>
    <mergeCell ref="AU64:AU65"/>
    <mergeCell ref="AV64:AV65"/>
    <mergeCell ref="AW64:AW65"/>
    <mergeCell ref="AT68:AT69"/>
    <mergeCell ref="AU68:AU69"/>
    <mergeCell ref="AV68:AV69"/>
    <mergeCell ref="AW68:AW69"/>
    <mergeCell ref="AT72:AT73"/>
    <mergeCell ref="AU72:AU73"/>
    <mergeCell ref="AV72:AV73"/>
    <mergeCell ref="AW72:AW73"/>
    <mergeCell ref="AT82:AT83"/>
    <mergeCell ref="AU82:AU83"/>
    <mergeCell ref="AV82:AV83"/>
    <mergeCell ref="AW82:AW83"/>
    <mergeCell ref="AT86:AT87"/>
    <mergeCell ref="AU86:AU87"/>
    <mergeCell ref="AV86:AV87"/>
    <mergeCell ref="AW86:AW87"/>
    <mergeCell ref="AT90:AT91"/>
    <mergeCell ref="AU90:AU91"/>
    <mergeCell ref="AV90:AV91"/>
    <mergeCell ref="AW90:AW91"/>
    <mergeCell ref="AT100:AT101"/>
    <mergeCell ref="AU100:AU101"/>
    <mergeCell ref="AV100:AV101"/>
    <mergeCell ref="AW100:AW101"/>
    <mergeCell ref="AT104:AT105"/>
    <mergeCell ref="AU104:AU105"/>
    <mergeCell ref="AV104:AV105"/>
    <mergeCell ref="AW104:AW105"/>
    <mergeCell ref="AT108:AT109"/>
    <mergeCell ref="AU108:AU109"/>
    <mergeCell ref="AV108:AV109"/>
    <mergeCell ref="AW108:AW109"/>
    <mergeCell ref="AT118:AT119"/>
    <mergeCell ref="AU118:AU119"/>
    <mergeCell ref="AV118:AV119"/>
    <mergeCell ref="AW118:AW119"/>
    <mergeCell ref="AT122:AT123"/>
    <mergeCell ref="AU122:AU123"/>
    <mergeCell ref="AV122:AV123"/>
    <mergeCell ref="AW122:AW123"/>
    <mergeCell ref="AT126:AT127"/>
    <mergeCell ref="AU126:AU127"/>
    <mergeCell ref="AV126:AV127"/>
    <mergeCell ref="AW126:AW127"/>
    <mergeCell ref="AT136:AT137"/>
    <mergeCell ref="AU136:AU137"/>
    <mergeCell ref="AV136:AV137"/>
    <mergeCell ref="AW136:AW137"/>
    <mergeCell ref="AT140:AT141"/>
    <mergeCell ref="AU140:AU141"/>
    <mergeCell ref="AV140:AV141"/>
    <mergeCell ref="AW140:AW141"/>
    <mergeCell ref="AT144:AT145"/>
    <mergeCell ref="AU144:AU145"/>
    <mergeCell ref="AV144:AV145"/>
    <mergeCell ref="AW144:AW145"/>
    <mergeCell ref="AT148:AT149"/>
    <mergeCell ref="AU148:AU149"/>
    <mergeCell ref="AV148:AV149"/>
    <mergeCell ref="AW148:AW149"/>
    <mergeCell ref="AT156:AT157"/>
    <mergeCell ref="AU156:AU157"/>
    <mergeCell ref="AV156:AV157"/>
    <mergeCell ref="AW156:AW157"/>
    <mergeCell ref="AT160:AT161"/>
    <mergeCell ref="AU160:AU161"/>
    <mergeCell ref="AV160:AV161"/>
    <mergeCell ref="AW160:AW161"/>
    <mergeCell ref="AT164:AT165"/>
    <mergeCell ref="AU164:AU165"/>
    <mergeCell ref="AV164:AV165"/>
    <mergeCell ref="AW164:AW165"/>
    <mergeCell ref="AT174:AT175"/>
    <mergeCell ref="AU174:AU175"/>
    <mergeCell ref="AV174:AV175"/>
    <mergeCell ref="AW174:AW175"/>
    <mergeCell ref="AT178:AT179"/>
    <mergeCell ref="AU178:AU179"/>
    <mergeCell ref="AV178:AV179"/>
    <mergeCell ref="AW178:AW179"/>
    <mergeCell ref="AT182:AT183"/>
    <mergeCell ref="AU182:AU183"/>
    <mergeCell ref="AV182:AV183"/>
    <mergeCell ref="AW182:AW183"/>
    <mergeCell ref="AT192:AT193"/>
    <mergeCell ref="AU192:AU193"/>
    <mergeCell ref="AV192:AV193"/>
    <mergeCell ref="AW192:AW193"/>
    <mergeCell ref="AT196:AT197"/>
    <mergeCell ref="AU196:AU197"/>
    <mergeCell ref="AV196:AV197"/>
    <mergeCell ref="AW196:AW197"/>
    <mergeCell ref="AT200:AT201"/>
    <mergeCell ref="AU200:AU201"/>
    <mergeCell ref="AV200:AV201"/>
    <mergeCell ref="AW200:AW201"/>
    <mergeCell ref="AT210:AT211"/>
    <mergeCell ref="AU210:AU211"/>
    <mergeCell ref="AV210:AV211"/>
    <mergeCell ref="AW210:AW211"/>
    <mergeCell ref="AT214:AT215"/>
    <mergeCell ref="AU214:AU215"/>
    <mergeCell ref="AV214:AV215"/>
    <mergeCell ref="AW214:AW215"/>
    <mergeCell ref="AT218:AT219"/>
    <mergeCell ref="AU218:AU219"/>
    <mergeCell ref="AV218:AV219"/>
    <mergeCell ref="AW218:AW219"/>
    <mergeCell ref="AT228:AT229"/>
    <mergeCell ref="AU228:AU229"/>
    <mergeCell ref="AV228:AV229"/>
    <mergeCell ref="AW228:AW229"/>
    <mergeCell ref="AT232:AT233"/>
    <mergeCell ref="AU232:AU233"/>
    <mergeCell ref="AV232:AV233"/>
    <mergeCell ref="AW232:AW233"/>
    <mergeCell ref="AT236:AT237"/>
    <mergeCell ref="AU236:AU237"/>
    <mergeCell ref="AV236:AV237"/>
    <mergeCell ref="AW236:AW237"/>
    <mergeCell ref="AT246:AT247"/>
    <mergeCell ref="AU246:AU247"/>
    <mergeCell ref="AV246:AV247"/>
    <mergeCell ref="AW246:AW247"/>
    <mergeCell ref="AT250:AT251"/>
    <mergeCell ref="AU250:AU251"/>
    <mergeCell ref="AV250:AV251"/>
    <mergeCell ref="AW250:AW251"/>
    <mergeCell ref="AT254:AT255"/>
    <mergeCell ref="AU254:AU255"/>
    <mergeCell ref="AV254:AV255"/>
    <mergeCell ref="AW254:AW255"/>
    <mergeCell ref="AT264:AT265"/>
    <mergeCell ref="AU264:AU265"/>
    <mergeCell ref="AV264:AV265"/>
    <mergeCell ref="AW264:AW265"/>
    <mergeCell ref="AT268:AT269"/>
    <mergeCell ref="AU268:AU269"/>
    <mergeCell ref="AV268:AV269"/>
    <mergeCell ref="AW268:AW269"/>
    <mergeCell ref="AT272:AT273"/>
    <mergeCell ref="AU272:AU273"/>
    <mergeCell ref="AV272:AV273"/>
    <mergeCell ref="AW272:AW273"/>
    <mergeCell ref="AT282:AT283"/>
    <mergeCell ref="AU282:AU283"/>
    <mergeCell ref="AV282:AV283"/>
    <mergeCell ref="AW282:AW283"/>
    <mergeCell ref="AT286:AT287"/>
    <mergeCell ref="AU286:AU287"/>
    <mergeCell ref="AV286:AV287"/>
    <mergeCell ref="AW286:AW287"/>
    <mergeCell ref="AT290:AT291"/>
    <mergeCell ref="AU290:AU291"/>
    <mergeCell ref="AV290:AV291"/>
    <mergeCell ref="AW290:AW291"/>
    <mergeCell ref="AT300:AT301"/>
    <mergeCell ref="AU300:AU301"/>
    <mergeCell ref="AV300:AV301"/>
    <mergeCell ref="AW300:AW301"/>
    <mergeCell ref="AT304:AT305"/>
    <mergeCell ref="AU304:AU305"/>
    <mergeCell ref="AV304:AV305"/>
    <mergeCell ref="AW304:AW305"/>
    <mergeCell ref="AT308:AT309"/>
    <mergeCell ref="AU308:AU309"/>
    <mergeCell ref="AV308:AV309"/>
    <mergeCell ref="AW308:AW309"/>
    <mergeCell ref="AT318:AT319"/>
    <mergeCell ref="AU318:AU319"/>
    <mergeCell ref="AV318:AV319"/>
    <mergeCell ref="AW318:AW319"/>
    <mergeCell ref="AT322:AT323"/>
    <mergeCell ref="AU322:AU323"/>
    <mergeCell ref="AV322:AV323"/>
    <mergeCell ref="AW322:AW323"/>
    <mergeCell ref="AT326:AT327"/>
    <mergeCell ref="AU326:AU327"/>
    <mergeCell ref="AV326:AV327"/>
    <mergeCell ref="AW326:AW327"/>
    <mergeCell ref="AT336:AT337"/>
    <mergeCell ref="AU336:AU337"/>
    <mergeCell ref="AV336:AV337"/>
    <mergeCell ref="AW336:AW337"/>
    <mergeCell ref="AT340:AT341"/>
    <mergeCell ref="AU340:AU341"/>
    <mergeCell ref="AV340:AV341"/>
    <mergeCell ref="AW340:AW341"/>
    <mergeCell ref="AT344:AT345"/>
    <mergeCell ref="AU344:AU345"/>
    <mergeCell ref="AV344:AV345"/>
    <mergeCell ref="AW344:AW345"/>
    <mergeCell ref="AT354:AT355"/>
    <mergeCell ref="AU354:AU355"/>
    <mergeCell ref="AV354:AV355"/>
    <mergeCell ref="AW354:AW355"/>
    <mergeCell ref="AT358:AT359"/>
    <mergeCell ref="AU358:AU359"/>
    <mergeCell ref="AV358:AV359"/>
    <mergeCell ref="AW358:AW359"/>
    <mergeCell ref="AT362:AT363"/>
    <mergeCell ref="AU362:AU363"/>
    <mergeCell ref="AV362:AV363"/>
    <mergeCell ref="AW362:AW363"/>
    <mergeCell ref="AT370:AT371"/>
    <mergeCell ref="AU370:AU371"/>
    <mergeCell ref="AV370:AV371"/>
    <mergeCell ref="AW370:AW371"/>
    <mergeCell ref="AT374:AT375"/>
    <mergeCell ref="AU374:AU375"/>
    <mergeCell ref="AV374:AV375"/>
    <mergeCell ref="AW374:AW375"/>
    <mergeCell ref="AT378:AT379"/>
    <mergeCell ref="AU378:AU379"/>
    <mergeCell ref="AV378:AV379"/>
    <mergeCell ref="AW378:AW379"/>
    <mergeCell ref="BA7:BA8"/>
    <mergeCell ref="BB7:BB8"/>
    <mergeCell ref="BC7:BC8"/>
    <mergeCell ref="BD7:BD8"/>
    <mergeCell ref="AX27:BC27"/>
    <mergeCell ref="AX28:BC28"/>
    <mergeCell ref="AX29:BC29"/>
    <mergeCell ref="AX30:BC30"/>
    <mergeCell ref="AX32:BC32"/>
    <mergeCell ref="AX33:BC33"/>
    <mergeCell ref="AX35:BD35"/>
    <mergeCell ref="AX37:BC37"/>
    <mergeCell ref="BD37:BD39"/>
    <mergeCell ref="AY38:AZ38"/>
    <mergeCell ref="BA38:BC38"/>
    <mergeCell ref="BB39:BC39"/>
    <mergeCell ref="BB40:BC40"/>
    <mergeCell ref="BA46:BA47"/>
    <mergeCell ref="BB46:BB47"/>
    <mergeCell ref="BC46:BC47"/>
    <mergeCell ref="BD46:BD47"/>
    <mergeCell ref="BA50:BA51"/>
    <mergeCell ref="BB50:BB51"/>
    <mergeCell ref="BC50:BC51"/>
    <mergeCell ref="BD50:BD51"/>
    <mergeCell ref="BA54:BA55"/>
    <mergeCell ref="BB54:BB55"/>
    <mergeCell ref="BC54:BC55"/>
    <mergeCell ref="BD54:BD55"/>
    <mergeCell ref="BA64:BA65"/>
    <mergeCell ref="BB64:BB65"/>
    <mergeCell ref="BC64:BC65"/>
    <mergeCell ref="BD64:BD65"/>
    <mergeCell ref="BA68:BA69"/>
    <mergeCell ref="BB68:BB69"/>
    <mergeCell ref="BC68:BC69"/>
    <mergeCell ref="BD68:BD69"/>
    <mergeCell ref="BA72:BA73"/>
    <mergeCell ref="BB72:BB73"/>
    <mergeCell ref="BC72:BC73"/>
    <mergeCell ref="BD72:BD73"/>
    <mergeCell ref="BA82:BA83"/>
    <mergeCell ref="BB82:BB83"/>
    <mergeCell ref="BC82:BC83"/>
    <mergeCell ref="BD82:BD83"/>
    <mergeCell ref="BA86:BA87"/>
    <mergeCell ref="BB86:BB87"/>
    <mergeCell ref="BC86:BC87"/>
    <mergeCell ref="BD86:BD87"/>
    <mergeCell ref="BA90:BA91"/>
    <mergeCell ref="BB90:BB91"/>
    <mergeCell ref="BC90:BC91"/>
    <mergeCell ref="BD90:BD91"/>
    <mergeCell ref="BA100:BA101"/>
    <mergeCell ref="BB100:BB101"/>
    <mergeCell ref="BC100:BC101"/>
    <mergeCell ref="BD100:BD101"/>
    <mergeCell ref="BA104:BA105"/>
    <mergeCell ref="BB104:BB105"/>
    <mergeCell ref="BC104:BC105"/>
    <mergeCell ref="BD104:BD105"/>
    <mergeCell ref="BA108:BA109"/>
    <mergeCell ref="BB108:BB109"/>
    <mergeCell ref="BC108:BC109"/>
    <mergeCell ref="BD108:BD109"/>
    <mergeCell ref="BA118:BA119"/>
    <mergeCell ref="BB118:BB119"/>
    <mergeCell ref="BC118:BC119"/>
    <mergeCell ref="BD118:BD119"/>
    <mergeCell ref="BA122:BA123"/>
    <mergeCell ref="BB122:BB123"/>
    <mergeCell ref="BC122:BC123"/>
    <mergeCell ref="BD122:BD123"/>
    <mergeCell ref="BA126:BA127"/>
    <mergeCell ref="BB126:BB127"/>
    <mergeCell ref="BC126:BC127"/>
    <mergeCell ref="BD126:BD127"/>
    <mergeCell ref="BA136:BA137"/>
    <mergeCell ref="BB136:BB137"/>
    <mergeCell ref="BC136:BC137"/>
    <mergeCell ref="BD136:BD137"/>
    <mergeCell ref="BA140:BA141"/>
    <mergeCell ref="BB140:BB141"/>
    <mergeCell ref="BC140:BC141"/>
    <mergeCell ref="BD140:BD141"/>
    <mergeCell ref="BA144:BA145"/>
    <mergeCell ref="BB144:BB145"/>
    <mergeCell ref="BC144:BC145"/>
    <mergeCell ref="BD144:BD145"/>
    <mergeCell ref="BA148:BA149"/>
    <mergeCell ref="BB148:BB149"/>
    <mergeCell ref="BC148:BC149"/>
    <mergeCell ref="BD148:BD149"/>
    <mergeCell ref="BA156:BA157"/>
    <mergeCell ref="BB156:BB157"/>
    <mergeCell ref="BC156:BC157"/>
    <mergeCell ref="BD156:BD157"/>
    <mergeCell ref="BA160:BA161"/>
    <mergeCell ref="BB160:BB161"/>
    <mergeCell ref="BC160:BC161"/>
    <mergeCell ref="BD160:BD161"/>
    <mergeCell ref="BA164:BA165"/>
    <mergeCell ref="BB164:BB165"/>
    <mergeCell ref="BC164:BC165"/>
    <mergeCell ref="BD164:BD165"/>
    <mergeCell ref="BA174:BA175"/>
    <mergeCell ref="BB174:BB175"/>
    <mergeCell ref="BC174:BC175"/>
    <mergeCell ref="BD174:BD175"/>
    <mergeCell ref="BA178:BA179"/>
    <mergeCell ref="BB178:BB179"/>
    <mergeCell ref="BC178:BC179"/>
    <mergeCell ref="BD178:BD179"/>
    <mergeCell ref="BA182:BA183"/>
    <mergeCell ref="BB182:BB183"/>
    <mergeCell ref="BC182:BC183"/>
    <mergeCell ref="BD182:BD183"/>
    <mergeCell ref="BA192:BA193"/>
    <mergeCell ref="BB192:BB193"/>
    <mergeCell ref="BC192:BC193"/>
    <mergeCell ref="BD192:BD193"/>
    <mergeCell ref="BA196:BA197"/>
    <mergeCell ref="BB196:BB197"/>
    <mergeCell ref="BC196:BC197"/>
    <mergeCell ref="BD196:BD197"/>
    <mergeCell ref="BA200:BA201"/>
    <mergeCell ref="BB200:BB201"/>
    <mergeCell ref="BC200:BC201"/>
    <mergeCell ref="BD200:BD201"/>
    <mergeCell ref="BA210:BA211"/>
    <mergeCell ref="BB210:BB211"/>
    <mergeCell ref="BC210:BC211"/>
    <mergeCell ref="BD210:BD211"/>
    <mergeCell ref="BA214:BA215"/>
    <mergeCell ref="BB214:BB215"/>
    <mergeCell ref="BC214:BC215"/>
    <mergeCell ref="BD214:BD215"/>
    <mergeCell ref="BA218:BA219"/>
    <mergeCell ref="BB218:BB219"/>
    <mergeCell ref="BC218:BC219"/>
    <mergeCell ref="BD218:BD219"/>
    <mergeCell ref="BA228:BA229"/>
    <mergeCell ref="BB228:BB229"/>
    <mergeCell ref="BC228:BC229"/>
    <mergeCell ref="BD228:BD229"/>
    <mergeCell ref="BA232:BA233"/>
    <mergeCell ref="BB232:BB233"/>
    <mergeCell ref="BC232:BC233"/>
    <mergeCell ref="BD232:BD233"/>
    <mergeCell ref="BA236:BA237"/>
    <mergeCell ref="BB236:BB237"/>
    <mergeCell ref="BC236:BC237"/>
    <mergeCell ref="BD236:BD237"/>
    <mergeCell ref="BA246:BA247"/>
    <mergeCell ref="BB246:BB247"/>
    <mergeCell ref="BC246:BC247"/>
    <mergeCell ref="BD246:BD247"/>
    <mergeCell ref="BA250:BA251"/>
    <mergeCell ref="BB250:BB251"/>
    <mergeCell ref="BC250:BC251"/>
    <mergeCell ref="BD250:BD251"/>
    <mergeCell ref="BA254:BA255"/>
    <mergeCell ref="BB254:BB255"/>
    <mergeCell ref="BC254:BC255"/>
    <mergeCell ref="BD254:BD255"/>
    <mergeCell ref="BA264:BA265"/>
    <mergeCell ref="BB264:BB265"/>
    <mergeCell ref="BC264:BC265"/>
    <mergeCell ref="BD264:BD265"/>
    <mergeCell ref="BA268:BA269"/>
    <mergeCell ref="BB268:BB269"/>
    <mergeCell ref="BC268:BC269"/>
    <mergeCell ref="BD268:BD269"/>
    <mergeCell ref="BA272:BA273"/>
    <mergeCell ref="BB272:BB273"/>
    <mergeCell ref="BC272:BC273"/>
    <mergeCell ref="BD272:BD273"/>
    <mergeCell ref="BA282:BA283"/>
    <mergeCell ref="BB282:BB283"/>
    <mergeCell ref="BC282:BC283"/>
    <mergeCell ref="BD282:BD283"/>
    <mergeCell ref="BA286:BA287"/>
    <mergeCell ref="BB286:BB287"/>
    <mergeCell ref="BC286:BC287"/>
    <mergeCell ref="BD286:BD287"/>
    <mergeCell ref="BA290:BA291"/>
    <mergeCell ref="BB290:BB291"/>
    <mergeCell ref="BC290:BC291"/>
    <mergeCell ref="BD290:BD291"/>
    <mergeCell ref="BA300:BA301"/>
    <mergeCell ref="BB300:BB301"/>
    <mergeCell ref="BC300:BC301"/>
    <mergeCell ref="BD300:BD301"/>
    <mergeCell ref="BA304:BA305"/>
    <mergeCell ref="BB304:BB305"/>
    <mergeCell ref="BC304:BC305"/>
    <mergeCell ref="BD304:BD305"/>
    <mergeCell ref="BA308:BA309"/>
    <mergeCell ref="BB308:BB309"/>
    <mergeCell ref="BC308:BC309"/>
    <mergeCell ref="BD308:BD309"/>
    <mergeCell ref="BA318:BA319"/>
    <mergeCell ref="BB318:BB319"/>
    <mergeCell ref="BC318:BC319"/>
    <mergeCell ref="BD318:BD319"/>
    <mergeCell ref="BA322:BA323"/>
    <mergeCell ref="BB322:BB323"/>
    <mergeCell ref="BC322:BC323"/>
    <mergeCell ref="BD322:BD323"/>
    <mergeCell ref="BA326:BA327"/>
    <mergeCell ref="BB326:BB327"/>
    <mergeCell ref="BC326:BC327"/>
    <mergeCell ref="BD326:BD327"/>
    <mergeCell ref="BA336:BA337"/>
    <mergeCell ref="BB336:BB337"/>
    <mergeCell ref="BC336:BC337"/>
    <mergeCell ref="BD336:BD337"/>
    <mergeCell ref="BA340:BA341"/>
    <mergeCell ref="BB340:BB341"/>
    <mergeCell ref="BC340:BC341"/>
    <mergeCell ref="BD340:BD341"/>
    <mergeCell ref="BA344:BA345"/>
    <mergeCell ref="BB344:BB345"/>
    <mergeCell ref="BC344:BC345"/>
    <mergeCell ref="BD344:BD345"/>
    <mergeCell ref="BA354:BA355"/>
    <mergeCell ref="BB354:BB355"/>
    <mergeCell ref="BC354:BC355"/>
    <mergeCell ref="BD354:BD355"/>
    <mergeCell ref="BA358:BA359"/>
    <mergeCell ref="BB358:BB359"/>
    <mergeCell ref="BC358:BC359"/>
    <mergeCell ref="BD358:BD359"/>
    <mergeCell ref="BA362:BA363"/>
    <mergeCell ref="BB362:BB363"/>
    <mergeCell ref="BC362:BC363"/>
    <mergeCell ref="BD362:BD363"/>
    <mergeCell ref="BA370:BA371"/>
    <mergeCell ref="BB370:BB371"/>
    <mergeCell ref="BC370:BC371"/>
    <mergeCell ref="BD370:BD371"/>
    <mergeCell ref="BA374:BA375"/>
    <mergeCell ref="BB374:BB375"/>
    <mergeCell ref="BC374:BC375"/>
    <mergeCell ref="BD374:BD375"/>
    <mergeCell ref="BA378:BA379"/>
    <mergeCell ref="BB378:BB379"/>
    <mergeCell ref="BC378:BC379"/>
    <mergeCell ref="BD378:BD379"/>
    <mergeCell ref="BH7:BH8"/>
    <mergeCell ref="BI7:BI8"/>
    <mergeCell ref="BJ7:BJ8"/>
    <mergeCell ref="BK7:BK8"/>
    <mergeCell ref="BE27:BJ27"/>
    <mergeCell ref="BE28:BJ28"/>
    <mergeCell ref="BE29:BJ29"/>
    <mergeCell ref="BE30:BJ30"/>
    <mergeCell ref="BE32:BJ32"/>
    <mergeCell ref="BE33:BJ33"/>
    <mergeCell ref="BE35:BK35"/>
    <mergeCell ref="BE37:BJ37"/>
    <mergeCell ref="BK37:BK39"/>
    <mergeCell ref="BF38:BG38"/>
    <mergeCell ref="BH38:BJ38"/>
    <mergeCell ref="BI39:BJ39"/>
    <mergeCell ref="BI40:BJ40"/>
    <mergeCell ref="BH46:BH47"/>
    <mergeCell ref="BI46:BI47"/>
    <mergeCell ref="BJ46:BJ47"/>
    <mergeCell ref="BK46:BK47"/>
    <mergeCell ref="BH50:BH51"/>
    <mergeCell ref="BI50:BI51"/>
    <mergeCell ref="BJ50:BJ51"/>
    <mergeCell ref="BK50:BK51"/>
    <mergeCell ref="BH54:BH55"/>
    <mergeCell ref="BI54:BI55"/>
    <mergeCell ref="BJ54:BJ55"/>
    <mergeCell ref="BK54:BK55"/>
    <mergeCell ref="BH64:BH65"/>
    <mergeCell ref="BI64:BI65"/>
    <mergeCell ref="BJ64:BJ65"/>
    <mergeCell ref="BK64:BK65"/>
    <mergeCell ref="BH68:BH69"/>
    <mergeCell ref="BI68:BI69"/>
    <mergeCell ref="BJ68:BJ69"/>
    <mergeCell ref="BK68:BK69"/>
    <mergeCell ref="BH72:BH73"/>
    <mergeCell ref="BI72:BI73"/>
    <mergeCell ref="BJ72:BJ73"/>
    <mergeCell ref="BK72:BK73"/>
    <mergeCell ref="BH82:BH83"/>
    <mergeCell ref="BI82:BI83"/>
    <mergeCell ref="BJ82:BJ83"/>
    <mergeCell ref="BK82:BK83"/>
    <mergeCell ref="BH86:BH87"/>
    <mergeCell ref="BI86:BI87"/>
    <mergeCell ref="BJ86:BJ87"/>
    <mergeCell ref="BK86:BK87"/>
    <mergeCell ref="BH90:BH91"/>
    <mergeCell ref="BI90:BI91"/>
    <mergeCell ref="BJ90:BJ91"/>
    <mergeCell ref="BK90:BK91"/>
    <mergeCell ref="BH100:BH101"/>
    <mergeCell ref="BI100:BI101"/>
    <mergeCell ref="BJ100:BJ101"/>
    <mergeCell ref="BK100:BK101"/>
    <mergeCell ref="BH104:BH105"/>
    <mergeCell ref="BI104:BI105"/>
    <mergeCell ref="BJ104:BJ105"/>
    <mergeCell ref="BK104:BK105"/>
    <mergeCell ref="BH108:BH109"/>
    <mergeCell ref="BI108:BI109"/>
    <mergeCell ref="BJ108:BJ109"/>
    <mergeCell ref="BK108:BK109"/>
    <mergeCell ref="BH118:BH119"/>
    <mergeCell ref="BI118:BI119"/>
    <mergeCell ref="BJ118:BJ119"/>
    <mergeCell ref="BK118:BK119"/>
    <mergeCell ref="BH122:BH123"/>
    <mergeCell ref="BI122:BI123"/>
    <mergeCell ref="BJ122:BJ123"/>
    <mergeCell ref="BK122:BK123"/>
    <mergeCell ref="BH126:BH127"/>
    <mergeCell ref="BI126:BI127"/>
    <mergeCell ref="BJ126:BJ127"/>
    <mergeCell ref="BK126:BK127"/>
    <mergeCell ref="BH136:BH137"/>
    <mergeCell ref="BI136:BI137"/>
    <mergeCell ref="BJ136:BJ137"/>
    <mergeCell ref="BK136:BK137"/>
    <mergeCell ref="BH140:BH141"/>
    <mergeCell ref="BI140:BI141"/>
    <mergeCell ref="BJ140:BJ141"/>
    <mergeCell ref="BK140:BK141"/>
    <mergeCell ref="BH144:BH145"/>
    <mergeCell ref="BI144:BI145"/>
    <mergeCell ref="BJ144:BJ145"/>
    <mergeCell ref="BK144:BK145"/>
    <mergeCell ref="BH148:BH149"/>
    <mergeCell ref="BI148:BI149"/>
    <mergeCell ref="BJ148:BJ149"/>
    <mergeCell ref="BK148:BK149"/>
    <mergeCell ref="BH156:BH157"/>
    <mergeCell ref="BI156:BI157"/>
    <mergeCell ref="BJ156:BJ157"/>
    <mergeCell ref="BK156:BK157"/>
    <mergeCell ref="BH160:BH161"/>
    <mergeCell ref="BI160:BI161"/>
    <mergeCell ref="BJ160:BJ161"/>
    <mergeCell ref="BK160:BK161"/>
    <mergeCell ref="BH164:BH165"/>
    <mergeCell ref="BI164:BI165"/>
    <mergeCell ref="BJ164:BJ165"/>
    <mergeCell ref="BK164:BK165"/>
    <mergeCell ref="BH174:BH175"/>
    <mergeCell ref="BI174:BI175"/>
    <mergeCell ref="BJ174:BJ175"/>
    <mergeCell ref="BK174:BK175"/>
    <mergeCell ref="BH178:BH179"/>
    <mergeCell ref="BI178:BI179"/>
    <mergeCell ref="BJ178:BJ179"/>
    <mergeCell ref="BK178:BK179"/>
    <mergeCell ref="BH182:BH183"/>
    <mergeCell ref="BI182:BI183"/>
    <mergeCell ref="BJ182:BJ183"/>
    <mergeCell ref="BK182:BK183"/>
    <mergeCell ref="BH192:BH193"/>
    <mergeCell ref="BI192:BI193"/>
    <mergeCell ref="BJ192:BJ193"/>
    <mergeCell ref="BK192:BK193"/>
    <mergeCell ref="BH196:BH197"/>
    <mergeCell ref="BI196:BI197"/>
    <mergeCell ref="BJ196:BJ197"/>
    <mergeCell ref="BK196:BK197"/>
    <mergeCell ref="BH200:BH201"/>
    <mergeCell ref="BI200:BI201"/>
    <mergeCell ref="BJ200:BJ201"/>
    <mergeCell ref="BK200:BK201"/>
    <mergeCell ref="BH210:BH211"/>
    <mergeCell ref="BI210:BI211"/>
    <mergeCell ref="BJ210:BJ211"/>
    <mergeCell ref="BK210:BK211"/>
    <mergeCell ref="BH214:BH215"/>
    <mergeCell ref="BI214:BI215"/>
    <mergeCell ref="BJ214:BJ215"/>
    <mergeCell ref="BK214:BK215"/>
    <mergeCell ref="BH218:BH219"/>
    <mergeCell ref="BI218:BI219"/>
    <mergeCell ref="BJ218:BJ219"/>
    <mergeCell ref="BK218:BK219"/>
    <mergeCell ref="BH228:BH229"/>
    <mergeCell ref="BI228:BI229"/>
    <mergeCell ref="BJ228:BJ229"/>
    <mergeCell ref="BK228:BK229"/>
    <mergeCell ref="BH232:BH233"/>
    <mergeCell ref="BI232:BI233"/>
    <mergeCell ref="BJ232:BJ233"/>
    <mergeCell ref="BK232:BK233"/>
    <mergeCell ref="BH236:BH237"/>
    <mergeCell ref="BI236:BI237"/>
    <mergeCell ref="BJ236:BJ237"/>
    <mergeCell ref="BK236:BK237"/>
    <mergeCell ref="BH246:BH247"/>
    <mergeCell ref="BI246:BI247"/>
    <mergeCell ref="BJ246:BJ247"/>
    <mergeCell ref="BK246:BK247"/>
    <mergeCell ref="BH250:BH251"/>
    <mergeCell ref="BI250:BI251"/>
    <mergeCell ref="BJ250:BJ251"/>
    <mergeCell ref="BK250:BK251"/>
    <mergeCell ref="BH254:BH255"/>
    <mergeCell ref="BI254:BI255"/>
    <mergeCell ref="BJ254:BJ255"/>
    <mergeCell ref="BK254:BK255"/>
    <mergeCell ref="BH264:BH265"/>
    <mergeCell ref="BI264:BI265"/>
    <mergeCell ref="BJ264:BJ265"/>
    <mergeCell ref="BK264:BK265"/>
    <mergeCell ref="BH268:BH269"/>
    <mergeCell ref="BI268:BI269"/>
    <mergeCell ref="BJ268:BJ269"/>
    <mergeCell ref="BK268:BK269"/>
    <mergeCell ref="BH272:BH273"/>
    <mergeCell ref="BI272:BI273"/>
    <mergeCell ref="BJ272:BJ273"/>
    <mergeCell ref="BK272:BK273"/>
    <mergeCell ref="BH282:BH283"/>
    <mergeCell ref="BI282:BI283"/>
    <mergeCell ref="BJ282:BJ283"/>
    <mergeCell ref="BK282:BK283"/>
    <mergeCell ref="BH286:BH287"/>
    <mergeCell ref="BI286:BI287"/>
    <mergeCell ref="BJ286:BJ287"/>
    <mergeCell ref="BK286:BK287"/>
    <mergeCell ref="BH290:BH291"/>
    <mergeCell ref="BI290:BI291"/>
    <mergeCell ref="BJ290:BJ291"/>
    <mergeCell ref="BK290:BK291"/>
    <mergeCell ref="BH300:BH301"/>
    <mergeCell ref="BI300:BI301"/>
    <mergeCell ref="BJ300:BJ301"/>
    <mergeCell ref="BK300:BK301"/>
    <mergeCell ref="BH304:BH305"/>
    <mergeCell ref="BI304:BI305"/>
    <mergeCell ref="BJ304:BJ305"/>
    <mergeCell ref="BK304:BK305"/>
    <mergeCell ref="BH308:BH309"/>
    <mergeCell ref="BI308:BI309"/>
    <mergeCell ref="BJ308:BJ309"/>
    <mergeCell ref="BK308:BK309"/>
    <mergeCell ref="BH318:BH319"/>
    <mergeCell ref="BI318:BI319"/>
    <mergeCell ref="BJ318:BJ319"/>
    <mergeCell ref="BK318:BK319"/>
    <mergeCell ref="BH322:BH323"/>
    <mergeCell ref="BI322:BI323"/>
    <mergeCell ref="BJ322:BJ323"/>
    <mergeCell ref="BK322:BK323"/>
    <mergeCell ref="BH326:BH327"/>
    <mergeCell ref="BI326:BI327"/>
    <mergeCell ref="BJ326:BJ327"/>
    <mergeCell ref="BK326:BK327"/>
    <mergeCell ref="BH336:BH337"/>
    <mergeCell ref="BI336:BI337"/>
    <mergeCell ref="BJ336:BJ337"/>
    <mergeCell ref="BK336:BK337"/>
    <mergeCell ref="BH340:BH341"/>
    <mergeCell ref="BI340:BI341"/>
    <mergeCell ref="BJ340:BJ341"/>
    <mergeCell ref="BK340:BK341"/>
    <mergeCell ref="BH344:BH345"/>
    <mergeCell ref="BI344:BI345"/>
    <mergeCell ref="BJ344:BJ345"/>
    <mergeCell ref="BK344:BK345"/>
    <mergeCell ref="BH354:BH355"/>
    <mergeCell ref="BI354:BI355"/>
    <mergeCell ref="BJ354:BJ355"/>
    <mergeCell ref="BK354:BK355"/>
    <mergeCell ref="BH358:BH359"/>
    <mergeCell ref="BI358:BI359"/>
    <mergeCell ref="BJ358:BJ359"/>
    <mergeCell ref="BK358:BK359"/>
    <mergeCell ref="BH362:BH363"/>
    <mergeCell ref="BI362:BI363"/>
    <mergeCell ref="BJ362:BJ363"/>
    <mergeCell ref="BK362:BK363"/>
    <mergeCell ref="BH370:BH371"/>
    <mergeCell ref="BI370:BI371"/>
    <mergeCell ref="BJ370:BJ371"/>
    <mergeCell ref="BK370:BK371"/>
    <mergeCell ref="BH374:BH375"/>
    <mergeCell ref="BI374:BI375"/>
    <mergeCell ref="BJ374:BJ375"/>
    <mergeCell ref="BK374:BK375"/>
    <mergeCell ref="BH378:BH379"/>
    <mergeCell ref="BI378:BI379"/>
    <mergeCell ref="BJ378:BJ379"/>
    <mergeCell ref="BK378:BK379"/>
    <mergeCell ref="BO7:BO8"/>
    <mergeCell ref="BP7:BP8"/>
    <mergeCell ref="BQ7:BQ8"/>
    <mergeCell ref="BR7:BR8"/>
    <mergeCell ref="BL27:BQ27"/>
    <mergeCell ref="BL28:BQ28"/>
    <mergeCell ref="BL29:BQ29"/>
    <mergeCell ref="BL30:BQ30"/>
    <mergeCell ref="BL32:BQ32"/>
    <mergeCell ref="BL33:BQ33"/>
    <mergeCell ref="BL35:BR35"/>
    <mergeCell ref="BL37:BQ37"/>
    <mergeCell ref="BR37:BR39"/>
    <mergeCell ref="BM38:BN38"/>
    <mergeCell ref="BO38:BQ38"/>
    <mergeCell ref="BP39:BQ39"/>
    <mergeCell ref="BP40:BQ40"/>
    <mergeCell ref="BO46:BO47"/>
    <mergeCell ref="BP46:BP47"/>
    <mergeCell ref="BQ46:BQ47"/>
    <mergeCell ref="BR46:BR47"/>
    <mergeCell ref="BO50:BO51"/>
    <mergeCell ref="BP50:BP51"/>
    <mergeCell ref="BQ50:BQ51"/>
    <mergeCell ref="BR50:BR51"/>
    <mergeCell ref="BO54:BO55"/>
    <mergeCell ref="BP54:BP55"/>
    <mergeCell ref="BQ54:BQ55"/>
    <mergeCell ref="BR54:BR55"/>
    <mergeCell ref="BO64:BO65"/>
    <mergeCell ref="BP64:BP65"/>
    <mergeCell ref="BQ64:BQ65"/>
    <mergeCell ref="BR64:BR65"/>
    <mergeCell ref="BO68:BO69"/>
    <mergeCell ref="BP68:BP69"/>
    <mergeCell ref="BQ68:BQ69"/>
    <mergeCell ref="BR68:BR69"/>
    <mergeCell ref="BO72:BO73"/>
    <mergeCell ref="BP72:BP73"/>
    <mergeCell ref="BQ72:BQ73"/>
    <mergeCell ref="BR72:BR73"/>
    <mergeCell ref="BO82:BO83"/>
    <mergeCell ref="BP82:BP83"/>
    <mergeCell ref="BQ82:BQ83"/>
    <mergeCell ref="BR82:BR83"/>
    <mergeCell ref="BO86:BO87"/>
    <mergeCell ref="BP86:BP87"/>
    <mergeCell ref="BQ86:BQ87"/>
    <mergeCell ref="BR86:BR87"/>
    <mergeCell ref="BO90:BO91"/>
    <mergeCell ref="BP90:BP91"/>
    <mergeCell ref="BQ90:BQ91"/>
    <mergeCell ref="BR90:BR91"/>
    <mergeCell ref="BO100:BO101"/>
    <mergeCell ref="BP100:BP101"/>
    <mergeCell ref="BQ100:BQ101"/>
    <mergeCell ref="BR100:BR101"/>
    <mergeCell ref="BO104:BO105"/>
    <mergeCell ref="BP104:BP105"/>
    <mergeCell ref="BQ104:BQ105"/>
    <mergeCell ref="BR104:BR105"/>
    <mergeCell ref="BO108:BO109"/>
    <mergeCell ref="BP108:BP109"/>
    <mergeCell ref="BQ108:BQ109"/>
    <mergeCell ref="BR108:BR109"/>
    <mergeCell ref="BO118:BO119"/>
    <mergeCell ref="BP118:BP119"/>
    <mergeCell ref="BQ118:BQ119"/>
    <mergeCell ref="BR118:BR119"/>
    <mergeCell ref="BO122:BO123"/>
    <mergeCell ref="BP122:BP123"/>
    <mergeCell ref="BQ122:BQ123"/>
    <mergeCell ref="BR122:BR123"/>
    <mergeCell ref="BO126:BO127"/>
    <mergeCell ref="BP126:BP127"/>
    <mergeCell ref="BQ126:BQ127"/>
    <mergeCell ref="BR126:BR127"/>
    <mergeCell ref="BO136:BO137"/>
    <mergeCell ref="BP136:BP137"/>
    <mergeCell ref="BQ136:BQ137"/>
    <mergeCell ref="BR136:BR137"/>
    <mergeCell ref="BO140:BO141"/>
    <mergeCell ref="BP140:BP141"/>
    <mergeCell ref="BQ140:BQ141"/>
    <mergeCell ref="BR140:BR141"/>
    <mergeCell ref="BO144:BO145"/>
    <mergeCell ref="BP144:BP145"/>
    <mergeCell ref="BQ144:BQ145"/>
    <mergeCell ref="BR144:BR145"/>
    <mergeCell ref="BO148:BO149"/>
    <mergeCell ref="BP148:BP149"/>
    <mergeCell ref="BQ148:BQ149"/>
    <mergeCell ref="BR148:BR149"/>
    <mergeCell ref="BO156:BO157"/>
    <mergeCell ref="BP156:BP157"/>
    <mergeCell ref="BQ156:BQ157"/>
    <mergeCell ref="BR156:BR157"/>
    <mergeCell ref="BO160:BO161"/>
    <mergeCell ref="BP160:BP161"/>
    <mergeCell ref="BQ160:BQ161"/>
    <mergeCell ref="BR160:BR161"/>
    <mergeCell ref="BO164:BO165"/>
    <mergeCell ref="BP164:BP165"/>
    <mergeCell ref="BQ164:BQ165"/>
    <mergeCell ref="BR164:BR165"/>
    <mergeCell ref="BO174:BO175"/>
    <mergeCell ref="BP174:BP175"/>
    <mergeCell ref="BQ174:BQ175"/>
    <mergeCell ref="BR174:BR175"/>
    <mergeCell ref="BO178:BO179"/>
    <mergeCell ref="BP178:BP179"/>
    <mergeCell ref="BQ178:BQ179"/>
    <mergeCell ref="BR178:BR179"/>
    <mergeCell ref="BO182:BO183"/>
    <mergeCell ref="BP182:BP183"/>
    <mergeCell ref="BQ182:BQ183"/>
    <mergeCell ref="BR182:BR183"/>
    <mergeCell ref="BO192:BO193"/>
    <mergeCell ref="BP192:BP193"/>
    <mergeCell ref="BQ192:BQ193"/>
    <mergeCell ref="BR192:BR193"/>
    <mergeCell ref="BO196:BO197"/>
    <mergeCell ref="BP196:BP197"/>
    <mergeCell ref="BQ196:BQ197"/>
    <mergeCell ref="BR196:BR197"/>
    <mergeCell ref="BO200:BO201"/>
    <mergeCell ref="BP200:BP201"/>
    <mergeCell ref="BQ200:BQ201"/>
    <mergeCell ref="BR200:BR201"/>
    <mergeCell ref="BO210:BO211"/>
    <mergeCell ref="BP210:BP211"/>
    <mergeCell ref="BQ210:BQ211"/>
    <mergeCell ref="BR210:BR211"/>
    <mergeCell ref="BO214:BO215"/>
    <mergeCell ref="BP214:BP215"/>
    <mergeCell ref="BQ214:BQ215"/>
    <mergeCell ref="BR214:BR215"/>
    <mergeCell ref="BO218:BO219"/>
    <mergeCell ref="BP218:BP219"/>
    <mergeCell ref="BQ218:BQ219"/>
    <mergeCell ref="BR218:BR219"/>
    <mergeCell ref="BO228:BO229"/>
    <mergeCell ref="BP228:BP229"/>
    <mergeCell ref="BQ228:BQ229"/>
    <mergeCell ref="BR228:BR229"/>
    <mergeCell ref="BO232:BO233"/>
    <mergeCell ref="BP232:BP233"/>
    <mergeCell ref="BQ232:BQ233"/>
    <mergeCell ref="BR232:BR233"/>
    <mergeCell ref="BO236:BO237"/>
    <mergeCell ref="BP236:BP237"/>
    <mergeCell ref="BQ236:BQ237"/>
    <mergeCell ref="BR236:BR237"/>
    <mergeCell ref="BO246:BO247"/>
    <mergeCell ref="BP246:BP247"/>
    <mergeCell ref="BQ246:BQ247"/>
    <mergeCell ref="BR246:BR247"/>
    <mergeCell ref="BO250:BO251"/>
    <mergeCell ref="BP250:BP251"/>
    <mergeCell ref="BQ250:BQ251"/>
    <mergeCell ref="BR250:BR251"/>
    <mergeCell ref="BO254:BO255"/>
    <mergeCell ref="BP254:BP255"/>
    <mergeCell ref="BQ254:BQ255"/>
    <mergeCell ref="BR254:BR255"/>
    <mergeCell ref="BO264:BO265"/>
    <mergeCell ref="BP264:BP265"/>
    <mergeCell ref="BQ264:BQ265"/>
    <mergeCell ref="BR264:BR265"/>
    <mergeCell ref="BO268:BO269"/>
    <mergeCell ref="BP268:BP269"/>
    <mergeCell ref="BQ268:BQ269"/>
    <mergeCell ref="BR268:BR269"/>
    <mergeCell ref="BO272:BO273"/>
    <mergeCell ref="BP272:BP273"/>
    <mergeCell ref="BQ272:BQ273"/>
    <mergeCell ref="BR272:BR273"/>
    <mergeCell ref="BO282:BO283"/>
    <mergeCell ref="BP282:BP283"/>
    <mergeCell ref="BQ282:BQ283"/>
    <mergeCell ref="BR282:BR283"/>
    <mergeCell ref="BO286:BO287"/>
    <mergeCell ref="BP286:BP287"/>
    <mergeCell ref="BQ286:BQ287"/>
    <mergeCell ref="BR286:BR287"/>
    <mergeCell ref="BO290:BO291"/>
    <mergeCell ref="BP290:BP291"/>
    <mergeCell ref="BQ290:BQ291"/>
    <mergeCell ref="BR290:BR291"/>
    <mergeCell ref="BO300:BO301"/>
    <mergeCell ref="BP300:BP301"/>
    <mergeCell ref="BQ300:BQ301"/>
    <mergeCell ref="BR300:BR301"/>
    <mergeCell ref="BO304:BO305"/>
    <mergeCell ref="BP304:BP305"/>
    <mergeCell ref="BQ304:BQ305"/>
    <mergeCell ref="BR304:BR305"/>
    <mergeCell ref="BO308:BO309"/>
    <mergeCell ref="BP308:BP309"/>
    <mergeCell ref="BQ308:BQ309"/>
    <mergeCell ref="BR308:BR309"/>
    <mergeCell ref="BO318:BO319"/>
    <mergeCell ref="BP318:BP319"/>
    <mergeCell ref="BQ318:BQ319"/>
    <mergeCell ref="BR318:BR319"/>
    <mergeCell ref="BO322:BO323"/>
    <mergeCell ref="BP322:BP323"/>
    <mergeCell ref="BQ322:BQ323"/>
    <mergeCell ref="BR322:BR323"/>
    <mergeCell ref="BO326:BO327"/>
    <mergeCell ref="BP326:BP327"/>
    <mergeCell ref="BQ326:BQ327"/>
    <mergeCell ref="BR326:BR327"/>
    <mergeCell ref="BO336:BO337"/>
    <mergeCell ref="BP336:BP337"/>
    <mergeCell ref="BQ336:BQ337"/>
    <mergeCell ref="BR336:BR337"/>
    <mergeCell ref="BO340:BO341"/>
    <mergeCell ref="BP340:BP341"/>
    <mergeCell ref="BQ340:BQ341"/>
    <mergeCell ref="BR340:BR341"/>
    <mergeCell ref="BO344:BO345"/>
    <mergeCell ref="BP344:BP345"/>
    <mergeCell ref="BQ344:BQ345"/>
    <mergeCell ref="BR344:BR345"/>
    <mergeCell ref="BO354:BO355"/>
    <mergeCell ref="BP354:BP355"/>
    <mergeCell ref="BQ354:BQ355"/>
    <mergeCell ref="BR354:BR355"/>
    <mergeCell ref="BO358:BO359"/>
    <mergeCell ref="BP358:BP359"/>
    <mergeCell ref="BQ358:BQ359"/>
    <mergeCell ref="BR358:BR359"/>
    <mergeCell ref="BO362:BO363"/>
    <mergeCell ref="BP362:BP363"/>
    <mergeCell ref="BQ362:BQ363"/>
    <mergeCell ref="BR362:BR363"/>
    <mergeCell ref="BO370:BO371"/>
    <mergeCell ref="BP370:BP371"/>
    <mergeCell ref="BQ370:BQ371"/>
    <mergeCell ref="BR370:BR371"/>
    <mergeCell ref="BO374:BO375"/>
    <mergeCell ref="BP374:BP375"/>
    <mergeCell ref="BQ374:BQ375"/>
    <mergeCell ref="BR374:BR375"/>
    <mergeCell ref="BO378:BO379"/>
    <mergeCell ref="BP378:BP379"/>
    <mergeCell ref="BQ378:BQ379"/>
    <mergeCell ref="BR378:BR379"/>
    <mergeCell ref="BV7:BV8"/>
    <mergeCell ref="BW7:BW8"/>
    <mergeCell ref="BX7:BX8"/>
    <mergeCell ref="BY7:BY8"/>
    <mergeCell ref="BS27:BX27"/>
    <mergeCell ref="BS28:BX28"/>
    <mergeCell ref="BS29:BX29"/>
    <mergeCell ref="BS30:BX30"/>
    <mergeCell ref="BS32:BX32"/>
    <mergeCell ref="BS33:BX33"/>
    <mergeCell ref="BS35:BY35"/>
    <mergeCell ref="BS37:BX37"/>
    <mergeCell ref="BY37:BY39"/>
    <mergeCell ref="BT38:BU38"/>
    <mergeCell ref="BV38:BX38"/>
    <mergeCell ref="BW39:BX39"/>
    <mergeCell ref="BW40:BX40"/>
    <mergeCell ref="BV46:BV47"/>
    <mergeCell ref="BW46:BW47"/>
    <mergeCell ref="BX46:BX47"/>
    <mergeCell ref="BY46:BY47"/>
    <mergeCell ref="BV50:BV51"/>
    <mergeCell ref="BW50:BW51"/>
    <mergeCell ref="BX50:BX51"/>
    <mergeCell ref="BY50:BY51"/>
    <mergeCell ref="BV54:BV55"/>
    <mergeCell ref="BW54:BW55"/>
    <mergeCell ref="BX54:BX55"/>
    <mergeCell ref="BY54:BY55"/>
    <mergeCell ref="BV64:BV65"/>
    <mergeCell ref="BW64:BW65"/>
    <mergeCell ref="BX64:BX65"/>
    <mergeCell ref="BY64:BY65"/>
    <mergeCell ref="BV68:BV69"/>
    <mergeCell ref="BW68:BW69"/>
    <mergeCell ref="BX68:BX69"/>
    <mergeCell ref="BY68:BY69"/>
    <mergeCell ref="BV72:BV73"/>
    <mergeCell ref="BW72:BW73"/>
    <mergeCell ref="BX72:BX73"/>
    <mergeCell ref="BY72:BY73"/>
    <mergeCell ref="BV82:BV83"/>
    <mergeCell ref="BW82:BW83"/>
    <mergeCell ref="BX82:BX83"/>
    <mergeCell ref="BY82:BY83"/>
    <mergeCell ref="BV86:BV87"/>
    <mergeCell ref="BW86:BW87"/>
    <mergeCell ref="BX86:BX87"/>
    <mergeCell ref="BY86:BY87"/>
    <mergeCell ref="BV90:BV91"/>
    <mergeCell ref="BW90:BW91"/>
    <mergeCell ref="BX90:BX91"/>
    <mergeCell ref="BY90:BY91"/>
    <mergeCell ref="BV100:BV101"/>
    <mergeCell ref="BW100:BW101"/>
    <mergeCell ref="BX100:BX101"/>
    <mergeCell ref="BY100:BY101"/>
    <mergeCell ref="BV104:BV105"/>
    <mergeCell ref="BW104:BW105"/>
    <mergeCell ref="BX104:BX105"/>
    <mergeCell ref="BY104:BY105"/>
    <mergeCell ref="BV108:BV109"/>
    <mergeCell ref="BW108:BW109"/>
    <mergeCell ref="BX108:BX109"/>
    <mergeCell ref="BY108:BY109"/>
    <mergeCell ref="BV118:BV119"/>
    <mergeCell ref="BW118:BW119"/>
    <mergeCell ref="BX118:BX119"/>
    <mergeCell ref="BY118:BY119"/>
    <mergeCell ref="BV122:BV123"/>
    <mergeCell ref="BW122:BW123"/>
    <mergeCell ref="BX122:BX123"/>
    <mergeCell ref="BY122:BY123"/>
    <mergeCell ref="BV126:BV127"/>
    <mergeCell ref="BW126:BW127"/>
    <mergeCell ref="BX126:BX127"/>
    <mergeCell ref="BY126:BY127"/>
    <mergeCell ref="BV136:BV137"/>
    <mergeCell ref="BW136:BW137"/>
    <mergeCell ref="BX136:BX137"/>
    <mergeCell ref="BY136:BY137"/>
    <mergeCell ref="BV140:BV141"/>
    <mergeCell ref="BW140:BW141"/>
    <mergeCell ref="BX140:BX141"/>
    <mergeCell ref="BY140:BY141"/>
    <mergeCell ref="BV144:BV145"/>
    <mergeCell ref="BW144:BW145"/>
    <mergeCell ref="BX144:BX145"/>
    <mergeCell ref="BY144:BY145"/>
    <mergeCell ref="BV148:BV149"/>
    <mergeCell ref="BW148:BW149"/>
    <mergeCell ref="BX148:BX149"/>
    <mergeCell ref="BY148:BY149"/>
    <mergeCell ref="BV156:BV157"/>
    <mergeCell ref="BW156:BW157"/>
    <mergeCell ref="BX156:BX157"/>
    <mergeCell ref="BY156:BY157"/>
    <mergeCell ref="BV160:BV161"/>
    <mergeCell ref="BW160:BW161"/>
    <mergeCell ref="BX160:BX161"/>
    <mergeCell ref="BY160:BY161"/>
    <mergeCell ref="BV164:BV165"/>
    <mergeCell ref="BW164:BW165"/>
    <mergeCell ref="BX164:BX165"/>
    <mergeCell ref="BY164:BY165"/>
    <mergeCell ref="BV174:BV175"/>
    <mergeCell ref="BW174:BW175"/>
    <mergeCell ref="BX174:BX175"/>
    <mergeCell ref="BY174:BY175"/>
    <mergeCell ref="BV178:BV179"/>
    <mergeCell ref="BW178:BW179"/>
    <mergeCell ref="BX178:BX179"/>
    <mergeCell ref="BY178:BY179"/>
    <mergeCell ref="BV182:BV183"/>
    <mergeCell ref="BW182:BW183"/>
    <mergeCell ref="BX182:BX183"/>
    <mergeCell ref="BY182:BY183"/>
    <mergeCell ref="BV192:BV193"/>
    <mergeCell ref="BW192:BW193"/>
    <mergeCell ref="BX192:BX193"/>
    <mergeCell ref="BY192:BY193"/>
    <mergeCell ref="BV196:BV197"/>
    <mergeCell ref="BW196:BW197"/>
    <mergeCell ref="BX196:BX197"/>
    <mergeCell ref="BY196:BY197"/>
    <mergeCell ref="BV200:BV201"/>
    <mergeCell ref="BW200:BW201"/>
    <mergeCell ref="BX200:BX201"/>
    <mergeCell ref="BY200:BY201"/>
    <mergeCell ref="BV210:BV211"/>
    <mergeCell ref="BW210:BW211"/>
    <mergeCell ref="BX210:BX211"/>
    <mergeCell ref="BY210:BY211"/>
    <mergeCell ref="BV214:BV215"/>
    <mergeCell ref="BW214:BW215"/>
    <mergeCell ref="BX214:BX215"/>
    <mergeCell ref="BY214:BY215"/>
    <mergeCell ref="BV218:BV219"/>
    <mergeCell ref="BW218:BW219"/>
    <mergeCell ref="BX218:BX219"/>
    <mergeCell ref="BY218:BY219"/>
    <mergeCell ref="BV228:BV229"/>
    <mergeCell ref="BW228:BW229"/>
    <mergeCell ref="BX228:BX229"/>
    <mergeCell ref="BY228:BY229"/>
    <mergeCell ref="BV232:BV233"/>
    <mergeCell ref="BW232:BW233"/>
    <mergeCell ref="BX232:BX233"/>
    <mergeCell ref="BY232:BY233"/>
    <mergeCell ref="BV236:BV237"/>
    <mergeCell ref="BW236:BW237"/>
    <mergeCell ref="BX236:BX237"/>
    <mergeCell ref="BY236:BY237"/>
    <mergeCell ref="BV246:BV247"/>
    <mergeCell ref="BW246:BW247"/>
    <mergeCell ref="BX246:BX247"/>
    <mergeCell ref="BY246:BY247"/>
    <mergeCell ref="BV250:BV251"/>
    <mergeCell ref="BW250:BW251"/>
    <mergeCell ref="BX250:BX251"/>
    <mergeCell ref="BY250:BY251"/>
    <mergeCell ref="BV254:BV255"/>
    <mergeCell ref="BW254:BW255"/>
    <mergeCell ref="BX254:BX255"/>
    <mergeCell ref="BY254:BY255"/>
    <mergeCell ref="BV264:BV265"/>
    <mergeCell ref="BW264:BW265"/>
    <mergeCell ref="BX264:BX265"/>
    <mergeCell ref="BY264:BY265"/>
    <mergeCell ref="BV268:BV269"/>
    <mergeCell ref="BW268:BW269"/>
    <mergeCell ref="BX268:BX269"/>
    <mergeCell ref="BY268:BY269"/>
    <mergeCell ref="BV272:BV273"/>
    <mergeCell ref="BW272:BW273"/>
    <mergeCell ref="BX272:BX273"/>
    <mergeCell ref="BY272:BY273"/>
    <mergeCell ref="BV282:BV283"/>
    <mergeCell ref="BW282:BW283"/>
    <mergeCell ref="BX282:BX283"/>
    <mergeCell ref="BY282:BY283"/>
    <mergeCell ref="BV286:BV287"/>
    <mergeCell ref="BW286:BW287"/>
    <mergeCell ref="BX286:BX287"/>
    <mergeCell ref="BY286:BY287"/>
    <mergeCell ref="BV290:BV291"/>
    <mergeCell ref="BW290:BW291"/>
    <mergeCell ref="BX290:BX291"/>
    <mergeCell ref="BY290:BY291"/>
    <mergeCell ref="BV300:BV301"/>
    <mergeCell ref="BW300:BW301"/>
    <mergeCell ref="BX300:BX301"/>
    <mergeCell ref="BY300:BY301"/>
    <mergeCell ref="BV304:BV305"/>
    <mergeCell ref="BW304:BW305"/>
    <mergeCell ref="BX304:BX305"/>
    <mergeCell ref="BY304:BY305"/>
    <mergeCell ref="BV308:BV309"/>
    <mergeCell ref="BW308:BW309"/>
    <mergeCell ref="BX308:BX309"/>
    <mergeCell ref="BY308:BY309"/>
    <mergeCell ref="BV318:BV319"/>
    <mergeCell ref="BW318:BW319"/>
    <mergeCell ref="BX318:BX319"/>
    <mergeCell ref="BY318:BY319"/>
    <mergeCell ref="BV322:BV323"/>
    <mergeCell ref="BW322:BW323"/>
    <mergeCell ref="BX322:BX323"/>
    <mergeCell ref="BY322:BY323"/>
    <mergeCell ref="BV326:BV327"/>
    <mergeCell ref="BW326:BW327"/>
    <mergeCell ref="BX326:BX327"/>
    <mergeCell ref="BY326:BY327"/>
    <mergeCell ref="BV336:BV337"/>
    <mergeCell ref="BW336:BW337"/>
    <mergeCell ref="BX336:BX337"/>
    <mergeCell ref="BY336:BY337"/>
    <mergeCell ref="BV340:BV341"/>
    <mergeCell ref="BW340:BW341"/>
    <mergeCell ref="BX340:BX341"/>
    <mergeCell ref="BY340:BY341"/>
    <mergeCell ref="BV344:BV345"/>
    <mergeCell ref="BW344:BW345"/>
    <mergeCell ref="BX344:BX345"/>
    <mergeCell ref="BY344:BY345"/>
    <mergeCell ref="BV354:BV355"/>
    <mergeCell ref="BW354:BW355"/>
    <mergeCell ref="BX354:BX355"/>
    <mergeCell ref="BY354:BY355"/>
    <mergeCell ref="BV358:BV359"/>
    <mergeCell ref="BW358:BW359"/>
    <mergeCell ref="BX358:BX359"/>
    <mergeCell ref="BY358:BY359"/>
    <mergeCell ref="BV362:BV363"/>
    <mergeCell ref="BW362:BW363"/>
    <mergeCell ref="BX362:BX363"/>
    <mergeCell ref="BY362:BY363"/>
    <mergeCell ref="BV370:BV371"/>
    <mergeCell ref="BW370:BW371"/>
    <mergeCell ref="BX370:BX371"/>
    <mergeCell ref="BY370:BY371"/>
    <mergeCell ref="BV374:BV375"/>
    <mergeCell ref="BW374:BW375"/>
    <mergeCell ref="BX374:BX375"/>
    <mergeCell ref="BY374:BY375"/>
    <mergeCell ref="BV378:BV379"/>
    <mergeCell ref="BW378:BW379"/>
    <mergeCell ref="BX378:BX379"/>
    <mergeCell ref="BY378:BY379"/>
    <mergeCell ref="CC7:CC8"/>
    <mergeCell ref="CD7:CD8"/>
    <mergeCell ref="CE7:CE8"/>
    <mergeCell ref="CF7:CF8"/>
    <mergeCell ref="BZ27:CE27"/>
    <mergeCell ref="BZ28:CE28"/>
    <mergeCell ref="BZ29:CE29"/>
    <mergeCell ref="BZ30:CE30"/>
    <mergeCell ref="BZ32:CE32"/>
    <mergeCell ref="BZ33:CE33"/>
    <mergeCell ref="BZ35:CF35"/>
    <mergeCell ref="BZ37:CE37"/>
    <mergeCell ref="CF37:CF39"/>
    <mergeCell ref="CA38:CB38"/>
    <mergeCell ref="CC38:CE38"/>
    <mergeCell ref="CD39:CE39"/>
    <mergeCell ref="CD40:CE40"/>
    <mergeCell ref="CC46:CC47"/>
    <mergeCell ref="CD46:CD47"/>
    <mergeCell ref="CE46:CE47"/>
    <mergeCell ref="CF46:CF47"/>
    <mergeCell ref="CC50:CC51"/>
    <mergeCell ref="CD50:CD51"/>
    <mergeCell ref="CE50:CE51"/>
    <mergeCell ref="CF50:CF51"/>
    <mergeCell ref="CC54:CC55"/>
    <mergeCell ref="CD54:CD55"/>
    <mergeCell ref="CE54:CE55"/>
    <mergeCell ref="CF54:CF55"/>
    <mergeCell ref="CC64:CC65"/>
    <mergeCell ref="CD64:CD65"/>
    <mergeCell ref="CE64:CE65"/>
    <mergeCell ref="CF64:CF65"/>
    <mergeCell ref="CC68:CC69"/>
    <mergeCell ref="CD68:CD69"/>
    <mergeCell ref="CE68:CE69"/>
    <mergeCell ref="CF68:CF69"/>
    <mergeCell ref="CC72:CC73"/>
    <mergeCell ref="CD72:CD73"/>
    <mergeCell ref="CE72:CE73"/>
    <mergeCell ref="CF72:CF73"/>
    <mergeCell ref="CC82:CC83"/>
    <mergeCell ref="CD82:CD83"/>
    <mergeCell ref="CE82:CE83"/>
    <mergeCell ref="CF82:CF83"/>
    <mergeCell ref="CC86:CC87"/>
    <mergeCell ref="CD86:CD87"/>
    <mergeCell ref="CE86:CE87"/>
    <mergeCell ref="CF86:CF87"/>
    <mergeCell ref="CC90:CC91"/>
    <mergeCell ref="CD90:CD91"/>
    <mergeCell ref="CE90:CE91"/>
    <mergeCell ref="CF90:CF91"/>
    <mergeCell ref="CC100:CC101"/>
    <mergeCell ref="CD100:CD101"/>
    <mergeCell ref="CE100:CE101"/>
    <mergeCell ref="CF100:CF101"/>
    <mergeCell ref="CC104:CC105"/>
    <mergeCell ref="CD104:CD105"/>
    <mergeCell ref="CE104:CE105"/>
    <mergeCell ref="CF104:CF105"/>
    <mergeCell ref="CC108:CC109"/>
    <mergeCell ref="CD108:CD109"/>
    <mergeCell ref="CE108:CE109"/>
    <mergeCell ref="CF108:CF109"/>
    <mergeCell ref="CC118:CC119"/>
    <mergeCell ref="CD118:CD119"/>
    <mergeCell ref="CE118:CE119"/>
    <mergeCell ref="CF118:CF119"/>
    <mergeCell ref="CC122:CC123"/>
    <mergeCell ref="CD122:CD123"/>
    <mergeCell ref="CE122:CE123"/>
    <mergeCell ref="CF122:CF123"/>
    <mergeCell ref="CC126:CC127"/>
    <mergeCell ref="CD126:CD127"/>
    <mergeCell ref="CE126:CE127"/>
    <mergeCell ref="CF126:CF127"/>
    <mergeCell ref="CC136:CC137"/>
    <mergeCell ref="CD136:CD137"/>
    <mergeCell ref="CE136:CE137"/>
    <mergeCell ref="CF136:CF137"/>
    <mergeCell ref="CC140:CC141"/>
    <mergeCell ref="CD140:CD141"/>
    <mergeCell ref="CE140:CE141"/>
    <mergeCell ref="CF140:CF141"/>
    <mergeCell ref="CC144:CC145"/>
    <mergeCell ref="CD144:CD145"/>
    <mergeCell ref="CE144:CE145"/>
    <mergeCell ref="CF144:CF145"/>
    <mergeCell ref="CC148:CC149"/>
    <mergeCell ref="CD148:CD149"/>
    <mergeCell ref="CE148:CE149"/>
    <mergeCell ref="CF148:CF149"/>
    <mergeCell ref="CC156:CC157"/>
    <mergeCell ref="CD156:CD157"/>
    <mergeCell ref="CE156:CE157"/>
    <mergeCell ref="CF156:CF157"/>
    <mergeCell ref="CC160:CC161"/>
    <mergeCell ref="CD160:CD161"/>
    <mergeCell ref="CE160:CE161"/>
    <mergeCell ref="CF160:CF161"/>
    <mergeCell ref="CC164:CC165"/>
    <mergeCell ref="CD164:CD165"/>
    <mergeCell ref="CE164:CE165"/>
    <mergeCell ref="CF164:CF165"/>
    <mergeCell ref="CC174:CC175"/>
    <mergeCell ref="CD174:CD175"/>
    <mergeCell ref="CE174:CE175"/>
    <mergeCell ref="CF174:CF175"/>
    <mergeCell ref="CC178:CC179"/>
    <mergeCell ref="CD178:CD179"/>
    <mergeCell ref="CE178:CE179"/>
    <mergeCell ref="CF178:CF179"/>
    <mergeCell ref="CC182:CC183"/>
    <mergeCell ref="CD182:CD183"/>
    <mergeCell ref="CE182:CE183"/>
    <mergeCell ref="CF182:CF183"/>
    <mergeCell ref="CC192:CC193"/>
    <mergeCell ref="CD192:CD193"/>
    <mergeCell ref="CE192:CE193"/>
    <mergeCell ref="CF192:CF193"/>
    <mergeCell ref="CC196:CC197"/>
    <mergeCell ref="CD196:CD197"/>
    <mergeCell ref="CE196:CE197"/>
    <mergeCell ref="CF196:CF197"/>
    <mergeCell ref="CC200:CC201"/>
    <mergeCell ref="CD200:CD201"/>
    <mergeCell ref="CE200:CE201"/>
    <mergeCell ref="CF200:CF201"/>
    <mergeCell ref="CC210:CC211"/>
    <mergeCell ref="CD210:CD211"/>
    <mergeCell ref="CE210:CE211"/>
    <mergeCell ref="CF210:CF211"/>
    <mergeCell ref="CC214:CC215"/>
    <mergeCell ref="CD214:CD215"/>
    <mergeCell ref="CE214:CE215"/>
    <mergeCell ref="CF214:CF215"/>
    <mergeCell ref="CC218:CC219"/>
    <mergeCell ref="CD218:CD219"/>
    <mergeCell ref="CE218:CE219"/>
    <mergeCell ref="CF218:CF219"/>
    <mergeCell ref="CC228:CC229"/>
    <mergeCell ref="CD228:CD229"/>
    <mergeCell ref="CE228:CE229"/>
    <mergeCell ref="CF228:CF229"/>
    <mergeCell ref="CC232:CC233"/>
    <mergeCell ref="CD232:CD233"/>
    <mergeCell ref="CE232:CE233"/>
    <mergeCell ref="CF232:CF233"/>
    <mergeCell ref="CC236:CC237"/>
    <mergeCell ref="CD236:CD237"/>
    <mergeCell ref="CE236:CE237"/>
    <mergeCell ref="CF236:CF237"/>
    <mergeCell ref="CC246:CC247"/>
    <mergeCell ref="CD246:CD247"/>
    <mergeCell ref="CE246:CE247"/>
    <mergeCell ref="CF246:CF247"/>
    <mergeCell ref="CC250:CC251"/>
    <mergeCell ref="CD250:CD251"/>
    <mergeCell ref="CE250:CE251"/>
    <mergeCell ref="CF250:CF251"/>
    <mergeCell ref="CC254:CC255"/>
    <mergeCell ref="CD254:CD255"/>
    <mergeCell ref="CE254:CE255"/>
    <mergeCell ref="CF254:CF255"/>
    <mergeCell ref="CC264:CC265"/>
    <mergeCell ref="CD264:CD265"/>
    <mergeCell ref="CE264:CE265"/>
    <mergeCell ref="CF264:CF265"/>
    <mergeCell ref="CC268:CC269"/>
    <mergeCell ref="CD268:CD269"/>
    <mergeCell ref="CE268:CE269"/>
    <mergeCell ref="CF268:CF269"/>
    <mergeCell ref="CC272:CC273"/>
    <mergeCell ref="CD272:CD273"/>
    <mergeCell ref="CE272:CE273"/>
    <mergeCell ref="CF272:CF273"/>
    <mergeCell ref="CC282:CC283"/>
    <mergeCell ref="CD282:CD283"/>
    <mergeCell ref="CE282:CE283"/>
    <mergeCell ref="CF282:CF283"/>
    <mergeCell ref="CC286:CC287"/>
    <mergeCell ref="CD286:CD287"/>
    <mergeCell ref="CE286:CE287"/>
    <mergeCell ref="CF286:CF287"/>
    <mergeCell ref="CC290:CC291"/>
    <mergeCell ref="CD290:CD291"/>
    <mergeCell ref="CE290:CE291"/>
    <mergeCell ref="CF290:CF291"/>
    <mergeCell ref="CC300:CC301"/>
    <mergeCell ref="CD300:CD301"/>
    <mergeCell ref="CE300:CE301"/>
    <mergeCell ref="CF300:CF301"/>
    <mergeCell ref="CC304:CC305"/>
    <mergeCell ref="CD304:CD305"/>
    <mergeCell ref="CE304:CE305"/>
    <mergeCell ref="CF304:CF305"/>
    <mergeCell ref="CC308:CC309"/>
    <mergeCell ref="CD308:CD309"/>
    <mergeCell ref="CE308:CE309"/>
    <mergeCell ref="CF308:CF309"/>
    <mergeCell ref="CC318:CC319"/>
    <mergeCell ref="CD318:CD319"/>
    <mergeCell ref="CE318:CE319"/>
    <mergeCell ref="CF318:CF319"/>
    <mergeCell ref="CC322:CC323"/>
    <mergeCell ref="CD322:CD323"/>
    <mergeCell ref="CE322:CE323"/>
    <mergeCell ref="CF322:CF323"/>
    <mergeCell ref="CC326:CC327"/>
    <mergeCell ref="CD326:CD327"/>
    <mergeCell ref="CE326:CE327"/>
    <mergeCell ref="CF326:CF327"/>
    <mergeCell ref="CC336:CC337"/>
    <mergeCell ref="CD336:CD337"/>
    <mergeCell ref="CE336:CE337"/>
    <mergeCell ref="CF336:CF337"/>
    <mergeCell ref="CC340:CC341"/>
    <mergeCell ref="CD340:CD341"/>
    <mergeCell ref="CE340:CE341"/>
    <mergeCell ref="CF340:CF341"/>
    <mergeCell ref="CC344:CC345"/>
    <mergeCell ref="CD344:CD345"/>
    <mergeCell ref="CE344:CE345"/>
    <mergeCell ref="CF344:CF345"/>
    <mergeCell ref="CC354:CC355"/>
    <mergeCell ref="CD354:CD355"/>
    <mergeCell ref="CE354:CE355"/>
    <mergeCell ref="CF354:CF355"/>
    <mergeCell ref="CC358:CC359"/>
    <mergeCell ref="CD358:CD359"/>
    <mergeCell ref="CE358:CE359"/>
    <mergeCell ref="CF358:CF359"/>
    <mergeCell ref="CC362:CC363"/>
    <mergeCell ref="CD362:CD363"/>
    <mergeCell ref="CE362:CE363"/>
    <mergeCell ref="CF362:CF363"/>
    <mergeCell ref="CC370:CC371"/>
    <mergeCell ref="CD370:CD371"/>
    <mergeCell ref="CE370:CE371"/>
    <mergeCell ref="CF370:CF371"/>
    <mergeCell ref="CC374:CC375"/>
    <mergeCell ref="CD374:CD375"/>
    <mergeCell ref="CE374:CE375"/>
    <mergeCell ref="CF374:CF375"/>
    <mergeCell ref="CC378:CC379"/>
    <mergeCell ref="CD378:CD379"/>
    <mergeCell ref="CE378:CE379"/>
    <mergeCell ref="CF378:CF379"/>
    <mergeCell ref="CJ7:CJ8"/>
    <mergeCell ref="CK7:CK8"/>
    <mergeCell ref="CL7:CL8"/>
    <mergeCell ref="CM7:CM8"/>
    <mergeCell ref="CG27:CL27"/>
    <mergeCell ref="CG28:CL28"/>
    <mergeCell ref="CG29:CL29"/>
    <mergeCell ref="CG30:CL30"/>
    <mergeCell ref="CG32:CL32"/>
    <mergeCell ref="CG33:CL33"/>
    <mergeCell ref="CG35:CM35"/>
    <mergeCell ref="CG37:CL37"/>
    <mergeCell ref="CM37:CM39"/>
    <mergeCell ref="CH38:CI38"/>
    <mergeCell ref="CJ38:CL38"/>
    <mergeCell ref="CK39:CL39"/>
    <mergeCell ref="CK40:CL40"/>
    <mergeCell ref="CJ46:CJ47"/>
    <mergeCell ref="CK46:CK47"/>
    <mergeCell ref="CL46:CL47"/>
    <mergeCell ref="CM46:CM47"/>
    <mergeCell ref="CJ50:CJ51"/>
    <mergeCell ref="CK50:CK51"/>
    <mergeCell ref="CL50:CL51"/>
    <mergeCell ref="CM50:CM51"/>
    <mergeCell ref="CJ54:CJ55"/>
    <mergeCell ref="CK54:CK55"/>
    <mergeCell ref="CL54:CL55"/>
    <mergeCell ref="CM54:CM55"/>
    <mergeCell ref="CJ64:CJ65"/>
    <mergeCell ref="CK64:CK65"/>
    <mergeCell ref="CL64:CL65"/>
    <mergeCell ref="CM64:CM65"/>
    <mergeCell ref="CJ68:CJ69"/>
    <mergeCell ref="CK68:CK69"/>
    <mergeCell ref="CL68:CL69"/>
    <mergeCell ref="CM68:CM69"/>
    <mergeCell ref="CJ72:CJ73"/>
    <mergeCell ref="CK72:CK73"/>
    <mergeCell ref="CL72:CL73"/>
    <mergeCell ref="CM72:CM73"/>
    <mergeCell ref="CJ82:CJ83"/>
    <mergeCell ref="CK82:CK83"/>
    <mergeCell ref="CL82:CL83"/>
    <mergeCell ref="CM82:CM83"/>
    <mergeCell ref="CJ86:CJ87"/>
    <mergeCell ref="CK86:CK87"/>
    <mergeCell ref="CL86:CL87"/>
    <mergeCell ref="CM86:CM87"/>
    <mergeCell ref="CJ90:CJ91"/>
    <mergeCell ref="CK90:CK91"/>
    <mergeCell ref="CL90:CL91"/>
    <mergeCell ref="CM90:CM91"/>
    <mergeCell ref="CJ100:CJ101"/>
    <mergeCell ref="CK100:CK101"/>
    <mergeCell ref="CL100:CL101"/>
    <mergeCell ref="CM100:CM101"/>
    <mergeCell ref="CJ104:CJ105"/>
    <mergeCell ref="CK104:CK105"/>
    <mergeCell ref="CL104:CL105"/>
    <mergeCell ref="CM104:CM105"/>
    <mergeCell ref="CJ108:CJ109"/>
    <mergeCell ref="CK108:CK109"/>
    <mergeCell ref="CL108:CL109"/>
    <mergeCell ref="CM108:CM109"/>
    <mergeCell ref="CJ118:CJ119"/>
    <mergeCell ref="CK118:CK119"/>
    <mergeCell ref="CL118:CL119"/>
    <mergeCell ref="CM118:CM119"/>
    <mergeCell ref="CJ122:CJ123"/>
    <mergeCell ref="CK122:CK123"/>
    <mergeCell ref="CL122:CL123"/>
    <mergeCell ref="CM122:CM123"/>
    <mergeCell ref="CJ126:CJ127"/>
    <mergeCell ref="CK126:CK127"/>
    <mergeCell ref="CL126:CL127"/>
    <mergeCell ref="CM126:CM127"/>
    <mergeCell ref="CJ136:CJ137"/>
    <mergeCell ref="CK136:CK137"/>
    <mergeCell ref="CL136:CL137"/>
    <mergeCell ref="CM136:CM137"/>
    <mergeCell ref="CJ140:CJ141"/>
    <mergeCell ref="CK140:CK141"/>
    <mergeCell ref="CL140:CL141"/>
    <mergeCell ref="CM140:CM141"/>
    <mergeCell ref="CJ144:CJ145"/>
    <mergeCell ref="CK144:CK145"/>
    <mergeCell ref="CL144:CL145"/>
    <mergeCell ref="CM144:CM145"/>
    <mergeCell ref="CJ148:CJ149"/>
    <mergeCell ref="CK148:CK149"/>
    <mergeCell ref="CL148:CL149"/>
    <mergeCell ref="CM148:CM149"/>
    <mergeCell ref="CJ156:CJ157"/>
    <mergeCell ref="CK156:CK157"/>
    <mergeCell ref="CL156:CL157"/>
    <mergeCell ref="CM156:CM157"/>
    <mergeCell ref="CJ160:CJ161"/>
    <mergeCell ref="CK160:CK161"/>
    <mergeCell ref="CL160:CL161"/>
    <mergeCell ref="CM160:CM161"/>
    <mergeCell ref="CJ164:CJ165"/>
    <mergeCell ref="CK164:CK165"/>
    <mergeCell ref="CL164:CL165"/>
    <mergeCell ref="CM164:CM165"/>
    <mergeCell ref="CJ174:CJ175"/>
    <mergeCell ref="CK174:CK175"/>
    <mergeCell ref="CL174:CL175"/>
    <mergeCell ref="CM174:CM175"/>
    <mergeCell ref="CJ178:CJ179"/>
    <mergeCell ref="CK178:CK179"/>
    <mergeCell ref="CL178:CL179"/>
    <mergeCell ref="CM178:CM179"/>
    <mergeCell ref="CJ182:CJ183"/>
    <mergeCell ref="CK182:CK183"/>
    <mergeCell ref="CL182:CL183"/>
    <mergeCell ref="CM182:CM183"/>
    <mergeCell ref="CJ192:CJ193"/>
    <mergeCell ref="CK192:CK193"/>
    <mergeCell ref="CL192:CL193"/>
    <mergeCell ref="CM192:CM193"/>
    <mergeCell ref="CJ196:CJ197"/>
    <mergeCell ref="CK196:CK197"/>
    <mergeCell ref="CL196:CL197"/>
    <mergeCell ref="CM196:CM197"/>
    <mergeCell ref="CJ200:CJ201"/>
    <mergeCell ref="CK200:CK201"/>
    <mergeCell ref="CL200:CL201"/>
    <mergeCell ref="CM200:CM201"/>
    <mergeCell ref="CJ210:CJ211"/>
    <mergeCell ref="CK210:CK211"/>
    <mergeCell ref="CL210:CL211"/>
    <mergeCell ref="CM210:CM211"/>
    <mergeCell ref="CJ214:CJ215"/>
    <mergeCell ref="CK214:CK215"/>
    <mergeCell ref="CL214:CL215"/>
    <mergeCell ref="CM214:CM215"/>
    <mergeCell ref="CJ218:CJ219"/>
    <mergeCell ref="CK218:CK219"/>
    <mergeCell ref="CL218:CL219"/>
    <mergeCell ref="CM218:CM219"/>
    <mergeCell ref="CJ228:CJ229"/>
    <mergeCell ref="CK228:CK229"/>
    <mergeCell ref="CL228:CL229"/>
    <mergeCell ref="CM228:CM229"/>
    <mergeCell ref="CJ232:CJ233"/>
    <mergeCell ref="CK232:CK233"/>
    <mergeCell ref="CL232:CL233"/>
    <mergeCell ref="CM232:CM233"/>
    <mergeCell ref="CJ236:CJ237"/>
    <mergeCell ref="CK236:CK237"/>
    <mergeCell ref="CL236:CL237"/>
    <mergeCell ref="CM236:CM237"/>
    <mergeCell ref="CJ246:CJ247"/>
    <mergeCell ref="CK246:CK247"/>
    <mergeCell ref="CL246:CL247"/>
    <mergeCell ref="CM246:CM247"/>
    <mergeCell ref="CJ250:CJ251"/>
    <mergeCell ref="CK250:CK251"/>
    <mergeCell ref="CL250:CL251"/>
    <mergeCell ref="CM250:CM251"/>
    <mergeCell ref="CJ254:CJ255"/>
    <mergeCell ref="CK254:CK255"/>
    <mergeCell ref="CL254:CL255"/>
    <mergeCell ref="CM254:CM255"/>
    <mergeCell ref="CJ264:CJ265"/>
    <mergeCell ref="CK264:CK265"/>
    <mergeCell ref="CL264:CL265"/>
    <mergeCell ref="CM264:CM265"/>
    <mergeCell ref="CJ268:CJ269"/>
    <mergeCell ref="CK268:CK269"/>
    <mergeCell ref="CL268:CL269"/>
    <mergeCell ref="CM268:CM269"/>
    <mergeCell ref="CJ272:CJ273"/>
    <mergeCell ref="CK272:CK273"/>
    <mergeCell ref="CL272:CL273"/>
    <mergeCell ref="CM272:CM273"/>
    <mergeCell ref="CJ282:CJ283"/>
    <mergeCell ref="CK282:CK283"/>
    <mergeCell ref="CL282:CL283"/>
    <mergeCell ref="CM282:CM283"/>
    <mergeCell ref="CJ286:CJ287"/>
    <mergeCell ref="CK286:CK287"/>
    <mergeCell ref="CL286:CL287"/>
    <mergeCell ref="CM286:CM287"/>
    <mergeCell ref="CJ290:CJ291"/>
    <mergeCell ref="CK290:CK291"/>
    <mergeCell ref="CL290:CL291"/>
    <mergeCell ref="CM290:CM291"/>
    <mergeCell ref="CJ300:CJ301"/>
    <mergeCell ref="CK300:CK301"/>
    <mergeCell ref="CL300:CL301"/>
    <mergeCell ref="CM300:CM301"/>
    <mergeCell ref="CJ304:CJ305"/>
    <mergeCell ref="CK304:CK305"/>
    <mergeCell ref="CL304:CL305"/>
    <mergeCell ref="CM304:CM305"/>
    <mergeCell ref="CJ308:CJ309"/>
    <mergeCell ref="CK308:CK309"/>
    <mergeCell ref="CL308:CL309"/>
    <mergeCell ref="CM308:CM309"/>
    <mergeCell ref="CJ318:CJ319"/>
    <mergeCell ref="CK318:CK319"/>
    <mergeCell ref="CL318:CL319"/>
    <mergeCell ref="CM318:CM319"/>
    <mergeCell ref="CJ322:CJ323"/>
    <mergeCell ref="CK322:CK323"/>
    <mergeCell ref="CL322:CL323"/>
    <mergeCell ref="CM322:CM323"/>
    <mergeCell ref="CJ326:CJ327"/>
    <mergeCell ref="CK326:CK327"/>
    <mergeCell ref="CL326:CL327"/>
    <mergeCell ref="CM326:CM327"/>
    <mergeCell ref="CJ336:CJ337"/>
    <mergeCell ref="CK336:CK337"/>
    <mergeCell ref="CL336:CL337"/>
    <mergeCell ref="CM336:CM337"/>
    <mergeCell ref="CJ340:CJ341"/>
    <mergeCell ref="CK340:CK341"/>
    <mergeCell ref="CL340:CL341"/>
    <mergeCell ref="CM340:CM341"/>
    <mergeCell ref="CJ344:CJ345"/>
    <mergeCell ref="CK344:CK345"/>
    <mergeCell ref="CL344:CL345"/>
    <mergeCell ref="CM344:CM345"/>
    <mergeCell ref="CJ354:CJ355"/>
    <mergeCell ref="CK354:CK355"/>
    <mergeCell ref="CL354:CL355"/>
    <mergeCell ref="CM354:CM355"/>
    <mergeCell ref="CJ358:CJ359"/>
    <mergeCell ref="CK358:CK359"/>
    <mergeCell ref="CL358:CL359"/>
    <mergeCell ref="CM358:CM359"/>
    <mergeCell ref="CJ362:CJ363"/>
    <mergeCell ref="CK362:CK363"/>
    <mergeCell ref="CL362:CL363"/>
    <mergeCell ref="CM362:CM363"/>
    <mergeCell ref="CJ370:CJ371"/>
    <mergeCell ref="CK370:CK371"/>
    <mergeCell ref="CL370:CL371"/>
    <mergeCell ref="CM370:CM371"/>
    <mergeCell ref="CJ374:CJ375"/>
    <mergeCell ref="CK374:CK375"/>
    <mergeCell ref="CL374:CL375"/>
    <mergeCell ref="CM374:CM375"/>
    <mergeCell ref="CJ378:CJ379"/>
    <mergeCell ref="CK378:CK379"/>
    <mergeCell ref="CL378:CL379"/>
    <mergeCell ref="CM378:CM379"/>
    <mergeCell ref="CQ7:CQ8"/>
    <mergeCell ref="CR7:CR8"/>
    <mergeCell ref="CS7:CS8"/>
    <mergeCell ref="CT7:CT8"/>
    <mergeCell ref="CN27:CS27"/>
    <mergeCell ref="CN28:CS28"/>
    <mergeCell ref="CN29:CS29"/>
    <mergeCell ref="CN30:CS30"/>
    <mergeCell ref="CN32:CS32"/>
    <mergeCell ref="CN33:CS33"/>
    <mergeCell ref="CN35:CT35"/>
    <mergeCell ref="CN37:CS37"/>
    <mergeCell ref="CT37:CT39"/>
    <mergeCell ref="CO38:CP38"/>
    <mergeCell ref="CQ38:CS38"/>
    <mergeCell ref="CR39:CS39"/>
    <mergeCell ref="CR40:CS40"/>
    <mergeCell ref="CQ46:CQ47"/>
    <mergeCell ref="CR46:CR47"/>
    <mergeCell ref="CS46:CS47"/>
    <mergeCell ref="CT46:CT47"/>
    <mergeCell ref="CQ50:CQ51"/>
    <mergeCell ref="CR50:CR51"/>
    <mergeCell ref="CS50:CS51"/>
    <mergeCell ref="CT50:CT51"/>
    <mergeCell ref="CQ54:CQ55"/>
    <mergeCell ref="CR54:CR55"/>
    <mergeCell ref="CS54:CS55"/>
    <mergeCell ref="CT54:CT55"/>
    <mergeCell ref="CQ64:CQ65"/>
    <mergeCell ref="CR64:CR65"/>
    <mergeCell ref="CS64:CS65"/>
    <mergeCell ref="CT64:CT65"/>
    <mergeCell ref="CQ68:CQ69"/>
    <mergeCell ref="CR68:CR69"/>
    <mergeCell ref="CS68:CS69"/>
    <mergeCell ref="CT68:CT69"/>
    <mergeCell ref="CQ72:CQ73"/>
    <mergeCell ref="CR72:CR73"/>
    <mergeCell ref="CS72:CS73"/>
    <mergeCell ref="CT72:CT73"/>
    <mergeCell ref="CQ82:CQ83"/>
    <mergeCell ref="CR82:CR83"/>
    <mergeCell ref="CS82:CS83"/>
    <mergeCell ref="CT82:CT83"/>
    <mergeCell ref="CQ86:CQ87"/>
    <mergeCell ref="CR86:CR87"/>
    <mergeCell ref="CS86:CS87"/>
    <mergeCell ref="CT86:CT87"/>
    <mergeCell ref="CQ90:CQ91"/>
    <mergeCell ref="CR90:CR91"/>
    <mergeCell ref="CS90:CS91"/>
    <mergeCell ref="CT90:CT91"/>
    <mergeCell ref="CQ100:CQ101"/>
    <mergeCell ref="CR100:CR101"/>
    <mergeCell ref="CS100:CS101"/>
    <mergeCell ref="CT100:CT101"/>
    <mergeCell ref="CQ104:CQ105"/>
    <mergeCell ref="CR104:CR105"/>
    <mergeCell ref="CS104:CS105"/>
    <mergeCell ref="CT104:CT105"/>
    <mergeCell ref="CQ108:CQ109"/>
    <mergeCell ref="CR108:CR109"/>
    <mergeCell ref="CS108:CS109"/>
    <mergeCell ref="CT108:CT109"/>
    <mergeCell ref="CQ118:CQ119"/>
    <mergeCell ref="CR118:CR119"/>
    <mergeCell ref="CS118:CS119"/>
    <mergeCell ref="CT118:CT119"/>
    <mergeCell ref="CQ122:CQ123"/>
    <mergeCell ref="CR122:CR123"/>
    <mergeCell ref="CS122:CS123"/>
    <mergeCell ref="CT122:CT123"/>
    <mergeCell ref="CQ126:CQ127"/>
    <mergeCell ref="CR126:CR127"/>
    <mergeCell ref="CS126:CS127"/>
    <mergeCell ref="CT126:CT127"/>
    <mergeCell ref="CQ136:CQ137"/>
    <mergeCell ref="CR136:CR137"/>
    <mergeCell ref="CS136:CS137"/>
    <mergeCell ref="CT136:CT137"/>
    <mergeCell ref="CQ140:CQ141"/>
    <mergeCell ref="CR140:CR141"/>
    <mergeCell ref="CS140:CS141"/>
    <mergeCell ref="CT140:CT141"/>
    <mergeCell ref="CQ144:CQ145"/>
    <mergeCell ref="CR144:CR145"/>
    <mergeCell ref="CS144:CS145"/>
    <mergeCell ref="CT144:CT145"/>
    <mergeCell ref="CQ148:CQ149"/>
    <mergeCell ref="CR148:CR149"/>
    <mergeCell ref="CS148:CS149"/>
    <mergeCell ref="CT148:CT149"/>
    <mergeCell ref="CQ156:CQ157"/>
    <mergeCell ref="CR156:CR157"/>
    <mergeCell ref="CS156:CS157"/>
    <mergeCell ref="CT156:CT157"/>
    <mergeCell ref="CQ160:CQ161"/>
    <mergeCell ref="CR160:CR161"/>
    <mergeCell ref="CS160:CS161"/>
    <mergeCell ref="CT160:CT161"/>
    <mergeCell ref="CQ164:CQ165"/>
    <mergeCell ref="CR164:CR165"/>
    <mergeCell ref="CS164:CS165"/>
    <mergeCell ref="CT164:CT165"/>
    <mergeCell ref="CQ174:CQ175"/>
    <mergeCell ref="CR174:CR175"/>
    <mergeCell ref="CS174:CS175"/>
    <mergeCell ref="CT174:CT175"/>
    <mergeCell ref="CQ178:CQ179"/>
    <mergeCell ref="CR178:CR179"/>
    <mergeCell ref="CS178:CS179"/>
    <mergeCell ref="CT178:CT179"/>
    <mergeCell ref="CQ182:CQ183"/>
    <mergeCell ref="CR182:CR183"/>
    <mergeCell ref="CS182:CS183"/>
    <mergeCell ref="CT182:CT183"/>
    <mergeCell ref="CQ192:CQ193"/>
    <mergeCell ref="CR192:CR193"/>
    <mergeCell ref="CS192:CS193"/>
    <mergeCell ref="CT192:CT193"/>
    <mergeCell ref="CQ196:CQ197"/>
    <mergeCell ref="CR196:CR197"/>
    <mergeCell ref="CS196:CS197"/>
    <mergeCell ref="CT196:CT197"/>
    <mergeCell ref="CQ200:CQ201"/>
    <mergeCell ref="CR200:CR201"/>
    <mergeCell ref="CS200:CS201"/>
    <mergeCell ref="CT200:CT201"/>
    <mergeCell ref="CQ210:CQ211"/>
    <mergeCell ref="CR210:CR211"/>
    <mergeCell ref="CS210:CS211"/>
    <mergeCell ref="CT210:CT211"/>
    <mergeCell ref="CQ214:CQ215"/>
    <mergeCell ref="CR214:CR215"/>
    <mergeCell ref="CS214:CS215"/>
    <mergeCell ref="CT214:CT215"/>
    <mergeCell ref="CQ218:CQ219"/>
    <mergeCell ref="CR218:CR219"/>
    <mergeCell ref="CS218:CS219"/>
    <mergeCell ref="CT218:CT219"/>
    <mergeCell ref="CQ228:CQ229"/>
    <mergeCell ref="CR228:CR229"/>
    <mergeCell ref="CS228:CS229"/>
    <mergeCell ref="CT228:CT229"/>
    <mergeCell ref="CQ232:CQ233"/>
    <mergeCell ref="CR232:CR233"/>
    <mergeCell ref="CS232:CS233"/>
    <mergeCell ref="CT232:CT233"/>
    <mergeCell ref="CQ236:CQ237"/>
    <mergeCell ref="CR236:CR237"/>
    <mergeCell ref="CS236:CS237"/>
    <mergeCell ref="CT236:CT237"/>
    <mergeCell ref="CQ246:CQ247"/>
    <mergeCell ref="CR246:CR247"/>
    <mergeCell ref="CS246:CS247"/>
    <mergeCell ref="CT246:CT247"/>
    <mergeCell ref="CQ250:CQ251"/>
    <mergeCell ref="CR250:CR251"/>
    <mergeCell ref="CS250:CS251"/>
    <mergeCell ref="CT250:CT251"/>
    <mergeCell ref="CQ254:CQ255"/>
    <mergeCell ref="CR254:CR255"/>
    <mergeCell ref="CS254:CS255"/>
    <mergeCell ref="CT254:CT255"/>
    <mergeCell ref="CQ264:CQ265"/>
    <mergeCell ref="CR264:CR265"/>
    <mergeCell ref="CS264:CS265"/>
    <mergeCell ref="CT264:CT265"/>
    <mergeCell ref="CQ268:CQ269"/>
    <mergeCell ref="CR268:CR269"/>
    <mergeCell ref="CS268:CS269"/>
    <mergeCell ref="CT268:CT269"/>
    <mergeCell ref="CQ272:CQ273"/>
    <mergeCell ref="CR272:CR273"/>
    <mergeCell ref="CS272:CS273"/>
    <mergeCell ref="CT272:CT273"/>
    <mergeCell ref="CQ282:CQ283"/>
    <mergeCell ref="CR282:CR283"/>
    <mergeCell ref="CS282:CS283"/>
    <mergeCell ref="CT282:CT283"/>
    <mergeCell ref="CQ286:CQ287"/>
    <mergeCell ref="CR286:CR287"/>
    <mergeCell ref="CS286:CS287"/>
    <mergeCell ref="CT286:CT287"/>
    <mergeCell ref="CQ290:CQ291"/>
    <mergeCell ref="CR290:CR291"/>
    <mergeCell ref="CS290:CS291"/>
    <mergeCell ref="CT290:CT291"/>
    <mergeCell ref="CQ300:CQ301"/>
    <mergeCell ref="CR300:CR301"/>
    <mergeCell ref="CS300:CS301"/>
    <mergeCell ref="CT300:CT301"/>
    <mergeCell ref="CQ304:CQ305"/>
    <mergeCell ref="CR304:CR305"/>
    <mergeCell ref="CS304:CS305"/>
    <mergeCell ref="CT304:CT305"/>
    <mergeCell ref="CQ308:CQ309"/>
    <mergeCell ref="CR308:CR309"/>
    <mergeCell ref="CS308:CS309"/>
    <mergeCell ref="CT308:CT309"/>
    <mergeCell ref="CQ318:CQ319"/>
    <mergeCell ref="CR318:CR319"/>
    <mergeCell ref="CS318:CS319"/>
    <mergeCell ref="CT318:CT319"/>
    <mergeCell ref="CQ322:CQ323"/>
    <mergeCell ref="CR322:CR323"/>
    <mergeCell ref="CS322:CS323"/>
    <mergeCell ref="CT322:CT323"/>
    <mergeCell ref="CQ326:CQ327"/>
    <mergeCell ref="CR326:CR327"/>
    <mergeCell ref="CS326:CS327"/>
    <mergeCell ref="CT326:CT327"/>
    <mergeCell ref="CQ336:CQ337"/>
    <mergeCell ref="CR336:CR337"/>
    <mergeCell ref="CS336:CS337"/>
    <mergeCell ref="CT336:CT337"/>
    <mergeCell ref="CQ340:CQ341"/>
    <mergeCell ref="CR340:CR341"/>
    <mergeCell ref="CS340:CS341"/>
    <mergeCell ref="CT340:CT341"/>
    <mergeCell ref="CQ344:CQ345"/>
    <mergeCell ref="CR344:CR345"/>
    <mergeCell ref="CS344:CS345"/>
    <mergeCell ref="CT344:CT345"/>
    <mergeCell ref="CQ354:CQ355"/>
    <mergeCell ref="CR354:CR355"/>
    <mergeCell ref="CS354:CS355"/>
    <mergeCell ref="CT354:CT355"/>
    <mergeCell ref="CQ358:CQ359"/>
    <mergeCell ref="CR358:CR359"/>
    <mergeCell ref="CS358:CS359"/>
    <mergeCell ref="CT358:CT359"/>
    <mergeCell ref="CQ362:CQ363"/>
    <mergeCell ref="CR362:CR363"/>
    <mergeCell ref="CS362:CS363"/>
    <mergeCell ref="CT362:CT363"/>
    <mergeCell ref="CQ370:CQ371"/>
    <mergeCell ref="CR370:CR371"/>
    <mergeCell ref="CS370:CS371"/>
    <mergeCell ref="CT370:CT371"/>
    <mergeCell ref="CQ374:CQ375"/>
    <mergeCell ref="CR374:CR375"/>
    <mergeCell ref="CS374:CS375"/>
    <mergeCell ref="CT374:CT375"/>
    <mergeCell ref="CQ378:CQ379"/>
    <mergeCell ref="CR378:CR379"/>
    <mergeCell ref="CS378:CS379"/>
    <mergeCell ref="CT378:CT379"/>
  </mergeCells>
  <dataValidations count="8">
    <dataValidation allowBlank="1" promptTitle="checkPeriodRange" sqref="X65911 X131447 X196983 X262519 X328055 X393591 X459127 X524663 X590199 X655735 X721271 X786807 X852343 X917879 X983415 AE16 AE65911 AE131447 AE196983 AE262519 AE328055 AE393591 AE459127 AE524663 AE590199 AE655735 AE721271 AE786807 AE852343 AE917879 AE983415 AE47 AE8 X8 X47 X65 AE65 X83 AE83 X101 AE101 X119 AE119 X137 AE137 X157 AE157 X175 AE175 X193 AE193 X211 AE211 X229 AE229 X247 AE247 X265 AE265 X283 AE283 X301 AE301 X319 AE319 X337 AE337 X355 AE355 X371 AE371 X51 AE51 X55 AE55 X69 AE69 X73 AE73 X87 AE87 X91 AE91 X105 AE105 X109 AE109 X123 AE123 X127 AE127 X141 AE141 X145 AE145 X149 AE149 X161 AE161 X165 AE165 X179 AE179 X183 AE183 X197 AE197 X201 AE201 X215 AE215 X219 AE219 X233 AE233 X237 AE237 X251 AE251 X255 AE255 X269 AE269 X273 AE273 X287 AE287 X291 AE291 X305 AE305 X309 AE309 X323 AE323 X327 AE327 X341 AE341 X345 AE345 X359 AE359 X363 AE363 X375 AE375 X379 AE379 AL8 AL47 AL51 AL55 AL65 AL69 AL73 AL83 AL87 AL91 AL101 AL105 AL109 AL119 AL123 AL127 AL137 AL141 AL145 AL149 AL157 AL161 AL165 AL175 AL179 AL183 AL193 AL197 AL201 AL211 AL215 AL219 AL229 AL233 AL237 AL247 AL251 AL255 AL265 AL269 AL273 AL283 AL287 AL291 AL301 AL305 AL309 AL319 AL323 AL327 AL337 AL341 AL345 AL355 AL359 AL363 AL371 AL375 AL379 AS8 AS47 AS51 AS55 AS65 AS69 AS73 AS83 AS87 AS91 AS101 AS105 AS109 AS119 AS123 AS127 AS137 AS141 AS145 AS149 AS157 AS161 AS165 AS175 AS179 AS183 AS193 AS197 AS201 AS211 AS215 AS219 AS229 AS233 AS237 AS247 AS251 AS255 AS265 AS269 AS273 AS283 AS287 AS291 AS301 AS305 AS309 AS319 AS323 AS327 AS337 AS341 AS345 AS355 AS359 AS363 AS371 AS375 AS379 AZ8 AZ47 AZ51 AZ55 AZ65 AZ69 AZ73 AZ83 AZ87 AZ91 AZ101 AZ105 AZ109 AZ119 AZ123 AZ127 AZ137 AZ141 AZ145 AZ149 AZ157 AZ161 AZ165 AZ175 AZ179 AZ183 AZ193 AZ197 AZ201 AZ211 AZ215 AZ219 AZ229 AZ233 AZ237 AZ247 AZ251 AZ255 AZ265 AZ269 AZ273 AZ283 AZ287 AZ291 AZ301 AZ305 AZ309 AZ319 AZ323 AZ327 AZ337 AZ341 AZ345 AZ355 AZ359 AZ363 AZ371 AZ375 AZ379 BG8 BG47 BG51 BG55 BG65 BG69 BG73 BG83 BG87 BG91 BG101 BG105 BG109 BG119 BG123 BG127 BG137 BG141 BG145 BG149 BG157 BG161 BG165 BG175 BG179 BG183 BG193 BG197 BG201 BG211 BG215 BG219 BG229 BG233 BG237 BG247 BG251 BG255 BG265 BG269 BG273 BG283 BG287 BG291 BG301 BG305 BG309 BG319 BG323 BG327 BG337 BG341 BG345 BG355 BG359 BG363 BG371 BG375 BG379 BN8 BN47 BN51 BN55 BN65 BN69 BN73 BN83 BN87 BN91 BN101 BN105 BN109 BN119 BN123 BN127 BN137 BN141 BN145 BN149 BN157 BN161 BN165 BN175 BN179 BN183 BN193 BN197 BN201 BN211 BN215 BN219 BN229 BN233 BN237 BN247 BN251 BN255 BN265 BN269 BN273 BN283 BN287 BN291 BN301 BN305 BN309 BN319 BN323 BN327 BN337 BN341 BN345 BN355 BN359 BN363 BN371 BN375 BN379 BU8 BU47 BU51 BU55 BU65 BU69 BU73 BU83 BU87 BU91 BU101 BU105 BU109 BU119 BU123 BU127 BU137 BU141 BU145 BU149 BU157 BU161 BU165 BU175 BU179 BU183 BU193 BU197 BU201 BU211 BU215 BU219 BU229 BU233 BU237 BU247 BU251 BU255 BU265 BU269 BU273 BU283 BU287 BU291 BU301 BU305 BU309 BU319 BU323 BU327 BU337 BU341 BU345 BU355 BU359 BU363 BU371 BU375 BU379 CB8 CB47 CB51 CB55 CB65 CB69 CB73 CB83 CB87 CB91 CB101 CB105 CB109 CB119 CB123 CB127 CB137 CB141 CB145 CB149 CB157 CB161 CB165 CB175 CB179 CB183 CB193 CB197 CB201 CB211 CB215 CB219 CB229 CB233 CB237 CB247 CB251 CB255 CB265 CB269 CB273 CB283 CB287 CB291 CB301 CB305 CB309 CB319 CB323 CB327 CB337 CB341 CB345 CB355 CB359 CB363 CB371 CB375 CB379 CI8 CI47 CI51 CI55 CI65 CI69 CI73 CI83 CI87 CI91 CI101 CI105 CI109 CI119 CI123 CI127 CI137 CI141 CI145 CI149 CI157 CI161 CI165 CI175 CI179 CI183 CI193 CI197 CI201 CI211 CI215 CI219 CI229 CI233 CI237 CI247 CI251 CI255 CI265 CI269 CI273 CI283 CI287 CI291 CI301 CI305 CI309 CI319 CI323 CI327 CI337 CI341 CI345 CI355 CI359 CI363 CI371 CI375 CI379 CP8 CP47 CP51 CP55 CP65 CP69 CP73 CP83 CP87 CP91 CP101 CP105 CP109 CP119 CP123 CP127 CP137 CP141 CP145 CP149 CP157 CP161 CP165 CP175 CP179 CP183 CP193 CP197 CP201 CP211 CP215 CP219 CP229 CP233 CP237 CP247 CP251 CP255 CP265 CP269 CP273 CP283 CP287 CP291 CP301 CP305 CP309 CP319 CP323 CP327 CP337 CP341 CP345 CP355 CP359 CP363 CP371 CP375 CP379"/>
    <dataValidation type="list" allowBlank="1" showInputMessage="1" showErrorMessage="1" errorTitle="Ошибка" error="Выберите значение из списка" sqref="V983412 V65908 V131444 V196980 V262516 V328052 V393588 V459124 V524660 V590196 V655732 V721268 V786804 V852340 V917876 AC983412 AC65908 AC131444 AC196980 AC262516 AC328052 AC393588 AC459124 AC524660 AC590196 AC655732 AC721268 AC786804 AC852340 AC917876">
      <formula1>kind_of_scheme_in</formula1>
    </dataValidation>
    <dataValidation type="textLength" operator="lessThanOrEqual" allowBlank="1" showInputMessage="1" showErrorMessage="1" errorTitle="Ошибка" error="Допускается ввод не более 900 символов!" sqref="CV65904:CV65911 CV131440:CV131447 CV196976:CV196983 CV262512:CV262519 CV328048:CV328055 CV393584:CV393591 CV459120:CV459127 CV524656:CV524663 CV590192:CV590199 CV655728:CV655735 CV721264:CV721271 CV786800:CV786807 CV852336:CV852343 CV917872:CV917879 CV983408:CV983415 T46 T7 AC5:AI5 CU5 AC44:AI44 CU44 AC62 AD62 AE62 AF62 AG62 AH62 AI62 CU62 T64 AC80 AD80 AE80 AF80 AG80 AH80 AI80 CU80 T82 AC98 AD98 AE98 AF98 AG98 AH98 AI98 CU98 T100 AC116 AD116 AE116 AF116 AG116 AH116 AI116 CU116 T118 AC134 AD134 AE134 AF134 AG134 AH134 AI134 CU134 T136 AC154 AD154 AE154 AF154 AG154 AH154 AI154 CU154 T156 AC172 AD172 AE172 AF172 AG172 AH172 AI172 CU172 T174 AC190 AD190 AE190 AF190 AG190 AH190 AI190 CU190 T192 AC208 AD208 AE208 AF208 AG208 AH208 AI208 CU208 T210 AC226 AD226 AE226 AF226 AG226 AH226 AI226 CU226 T228 AC244 AD244 AE244 AF244 AG244 AH244 AI244 CU244 T246 AC262 AD262 AE262 AF262 AG262 AH262 AI262 CU262 T264 AC280 AD280 AE280 AF280 AG280 AH280 AI280 CU280 T282 AC298 AD298 AE298 AF298 AG298 AH298 AI298 CU298 T300 AC316 AD316 AE316 AF316 AG316 AH316 AI316 CU316 T318 AC334 AD334 AE334 AF334 AG334 AH334 AI334 CU334 T336 AC352 AD352 AE352 AF352 AG352 AH352 AI352 CU352 T354 AC368 AD368 AE368 AF368 AG368 AH368 AI368 CU368 T370 T50 T54 T68 T72 T86 T90 T104 T108 T122 T126 T140 T144 T148 T160 T164 T178 T182 T196 T200 T214 T218 T232 T236 T250 T254 T268 T272 T286 T290 T304 T308 T322 T326 T340 T344 T358 T362 T374 T378">
      <formula1>900</formula1>
    </dataValidation>
    <dataValidation type="list" allowBlank="1" showInputMessage="1" showErrorMessage="1" errorTitle="Ошибка" error="Выберите значение из списка" sqref="T65910 T131446 T196982 T262518 T328054 T393590 T459126 T524662 T590198 T655734 T721270 T786806 T852342 T917878 T98341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910 Y131446 Y196982 Y262518 Y328054 Y393590 Y459126 Y524662 Y590198 Y655734 Y721270 Y786806 Y852342 Y917878 Y983414 AA65910 AA131446 AA196982 AA262518 AA328054 AA393590 AA459126 AA524662 AA590198 AA655734 AA721270 AA786806 AA852342 AA917878 AA983414 AF15 AF65910 AF131446 AF196982 AF262518 AF328054 AF393590 AF459126 AF524662 AF590198 AF655734 AF721270 AF786806 AF852342 AF917878 AF983414 AH65910 AH131446 AH196982 AH262518 AH328054 AH393590 AH459126 AH524662 AH590198 AH655734 AH721270 AH786806 AH852342 AH917878 AH983414 AH46 AF46 AH15 AH7 AF7 Y7 AA7 Y46 AA46 Y64 AA64 AF64 AH64 Y82 AA82 AF82 AH82 Y100 AA100 AF100 AH100 Y118 AA118 AF118 AH118 Y136 AA136 AF136 AH136 Y156 AA156 AF156 AH156 Y174 AA174 AF174 AH174 Y192 AA192 AF192 AH192 Y210 AA210 AF210 AH210 Y228 AA228 AF228 AH228 Y246 AA246 AF246 AH246 Y264 AA264 AF264 AH264 Y282 AA282 AF282 AH282 Y300 AA300 AF300 AH300 Y318 AA318 AF318 AH318 Y336 AA336 AF336 AH336 Y354 AA354 AF354 AH354 Y370 AA370 AF370 AH370 Y50 AA50 AF50 AH50 Y54 AA54 AF54 AH54 Y68 AA68 AF68 AH68 Y72 AA72 AF72 AH72 Y86 AA86 AF86 AH86 Y90 AA90 AF90 AH90 Y104 AA104 AF104 AH104 Y108 AA108 AF108 AH108 Y122 AA122 AF122 AH122 Y126 AA126 AF126 AH126 Y140 AA140 AF140 AH140 Y144 AA144 AF144 AH144 Y148 AA148 AF148 AH148 Y160 AA160 AF160 AH160 Y164 AA164 AF164 AH164 Y178 AA178 AF178 AH178 Y182 AA182 AF182 AH182 Y196 AA196 AF196 AH196 Y200 AA200 AF200 AH200 Y214 AA214 AF214 AH214 Y218 AA218 AF218 AH218 Y232 AA232 AF232 AH232 Y236 AA236 AF236 AH236 Y250 AA250 AF250 AH250 Y254 AA254 AF254 AH254 Y268 AA268 AF268 AH268 Y272 AA272 AF272 AH272 Y286 AA286 AF286 AH286 Y290 AA290 AF290 AH290 Y304 AA304 AF304 AH304 Y308 AA308 AF308 AH308 Y322 AA322 AF322 AH322 Y326 AA326 AF326 AH326 Y340 AA340 AF340 AH340 Y344 AA344 AF344 AH344 Y358 AA358 AF358 AH358 Y362 AA362 AF362 AH362 Y374 AA374 AF374 AH374 Y378 AA378 AF378 AH378 AM7 AO7 AM46 AO46 AM50 AO50 AM54 AO54 AM64 AO64 AM68 AO68 AM72 AO72 AM82 AO82 AM86 AO86 AM90 AO90 AM100 AO100 AM104 AO104 AM108 AO108 AM118 AO118 AM122 AO122 AM126 AO126 AM136 AO136 AM140 AO140 AM144 AO144 AM148 AO148 AM156 AO156 AM160 AO160 AM164 AO164 AM174 AO174 AM178 AO178 AM182 AO182 AM192 AO192 AM196 AO196 AM200 AO200 AM210 AO210 AM214 AO214 AM218 AO218 AM228 AO228 AM232 AO232 AM236 AO236 AM246 AO246 AM250 AO250 AM254 AO254 AM264 AO264 AM268 AO268 AM272 AO272 AM282 AO282 AM286 AO286 AM290 AO290 AM300 AO300 AM304 AO304 AM308 AO308 AM318 AO318 AM322 AO322 AM326 AO326 AM336 AO336 AM340 AO340 AM344 AO344 AM354 AO354 AM358 AO358 AM362 AO362 AM370 AO370 AM374 AO374 AM378 AO378 AT7 AV7 AT46 AV46 AT50 AV50 AT54 AV54 AT64 AV64 AT68 AV68 AT72 AV72 AT82 AV82 AT86 AV86 AT90 AV90 AT100 AV100 AT104 AV104 AT108 AV108 AT118 AV118 AT122 AV122 AT126 AV126 AT136 AV136 AT140 AV140 AT144 AV144 AT148 AV148 AT156 AV156 AT160 AV160 AT164 AV164 AT174 AV174 AT178 AV178 AT182 AV182 AT192 AV192 AT196 AV196 AT200 AV200 AT210 AV210 AT214 AV214 AT218 AV218 AT228 AV228 AT232 AV232 AT236 AV236 AT246 AV246 AT250 AV250 AT254 AV254 AT264 AV264 AT268 AV268 AT272 AV272 AT282 AV282 AT286 AV286 AT290 AV290 AT300 AV300 AT304 AV304 AT308 AV308 AT318 AV318 AT322 AV322 AT326 AV326 AT336 AV336 AT340 AV340 AT344 AV344 AT354 AV354 AT358 AV358 AT362 AV362 AT370 AV370 AT374 AV374 AT378 AV378 BA7 BC7 BA46 BC46 BA50 BC50 BA54 BC54 BA64 BC64 BA68 BC68 BA72 BC72 BA82 BC82 BA86 BC86 BA90 BC90 BA100 BC100 BA104 BC104 BA108 BC108 BA118 BC118 BA122 BC122 BA126 BC126 BA136 BC136 BA140 BC140 BA144 BC144 BA148 BC148 BA156 BC156 BA160 BC160 BA164 BC164 BA174 BC174 BA178 BC178 BA182 BC182 BA192 BC192 BA196 BC196 BA200 BC200 BA210 BC210 BA214 BC214 BA218 BC218 BA228 BC228 BA232 BC232 BA236 BC236 BA246 BC246 BA250 BC250 BA254 BC254 BA264 BC264 BA268 BC268 BA272 BC272 BA282 BC282 BA286 BC286 BA290 BC290 BA300 BC300 BA304 BC304 BA308 BC308 BA318 BC318 BA322 BC322 BA326 BC326 BA336 BC336 BA340 BC340 BA344 BC344 BA354 BC354 BA358 BC358 BA362 BC362 BA370 BC370 BA374 BC374 BA378 BC378 BH7 BJ7 BH46 BJ46 BH50 BJ50 BH54 BJ54 BH64 BJ64 BH68 BJ68 BH72 BJ72 BH82 BJ82 BH86 BJ86 BH90 BJ90 BH100 BJ100 BH104 BJ104 BH108 BJ108 BH118 BJ118 BH122 BJ122 BH126 BJ126 BH136 BJ136 BH140 BJ140 BH144 BJ144 BH148 BJ148 BH156 BJ156 BH160 BJ160 BH164 BJ164 BH174 BJ174 BH178 BJ178 BH182 BJ182 BH192 BJ192 BH196 BJ196 BH200 BJ200 BH210 BJ210 BH214 BJ214 BH218 BJ218 BH228 BJ228 BH232 BJ232 BH236 BJ236 BH246 BJ246 BH250 BJ250 BH254 BJ254 BH264 BJ264 BH268 BJ268 BH272 BJ272 BH282 BJ282 BH286 BJ286 BH290 BJ290 BH300 BJ300 BH304 BJ304 BH308 BJ308 BH318 BJ318 BH322 BJ322 BH326 BJ326 BH336 BJ336 BH340 BJ340 BH344 BJ344 BH354 BJ354 BH358 BJ358 BH362 BJ362 BH370 BJ370 BH374 BJ374 BH378 BJ378 BO7 BQ7 BO46 BQ46 BO50 BQ50 BO54 BQ54 BO64 BQ64 BO68 BQ68 BO72 BQ72 BO82 BQ82 BO86 BQ86 BO90 BQ90 BO100 BQ100 BO104 BQ104 BO108 BQ108 BO118 BQ118 BO122 BQ122 BO126 BQ126 BO136 BQ136 BO140 BQ140 BO144 BQ144 BO148 BQ148 BO156 BQ156 BO160 BQ160 BO164 BQ164 BO174 BQ174 BO178 BQ178 BO182 BQ182 BO192 BQ192 BO196 BQ196 BO200 BQ200 BO210 BQ210 BO214 BQ214 BO218 BQ218 BO228 BQ228 BO232 BQ232 BO236 BQ236 BO246 BQ246 BO250 BQ250 BO254 BQ254 BO264 BQ264 BO268 BQ268 BO272 BQ272 BO282 BQ282 BO286 BQ286 BO290 BQ290 BO300 BQ300 BO304 BQ304 BO308 BQ308 BO318 BQ318 BO322 BQ322 BO326 BQ326 BO336 BQ336 BO340 BQ340 BO344 BQ344 BO354 BQ354 BO358 BQ358 BO362 BQ362 BO370 BQ370 BO374 BQ374 BO378 BQ378 BV7 BX7 BV46 BX46 BV50 BX50 BV54 BX54 BV64 BX64 BV68 BX68 BV72 BX72 BV82 BX82 BV86 BX86 BV90 BX90 BV100 BX100 BV104 BX104 BV108 BX108 BV118 BX118 BV122 BX122 BV126 BX126 BV136 BX136 BV140 BX140 BV144 BX144 BV148 BX148 BV156 BX156 BV160 BX160 BV164 BX164 BV174 BX174 BV178 BX178 BV182 BX182 BV192 BX192 BV196 BX196 BV200 BX200 BV210 BX210 BV214 BX214 BV218 BX218 BV228 BX228 BV232 BX232 BV236 BX236 BV246 BX246 BV250 BX250 BV254 BX254 BV264 BX264 BV268 BX268 BV272 BX272 BV282 BX282 BV286 BX286 BV290 BX290 BV300 BX300 BV304 BX304 BV308 BX308 BV318 BX318 BV322 BX322 BV326 BX326 BV336 BX336 BV340 BX340 BV344 BX344 BV354 BX354 BV358 BX358 BV362 BX362 BV370 BX370 BV374 BX374 BV378 BX378 CC7 CE7 CC46 CE46 CC50 CE50 CC54 CE54 CC64 CE64 CC68 CE68 CC72 CE72 CC82 CE82 CC86 CE86 CC90 CE90 CC100 CE100 CC104 CE104 CC108 CE108 CC118 CE118 CC122 CE122 CC126 CE126 CC136 CE136 CC140 CE140 CC144 CE144 CC148 CE148 CC156 CE156 CC160 CE160 CC164 CE164 CC174 CE174 CC178 CE178 CC182 CE182 CC192 CE192 CC196 CE196 CC200 CE200 CC210 CE210 CC214 CE214 CC218 CE218 CC228 CE228 CC232 CE232 CC236 CE236 CC246 CE246 CC250 CE250 CC254 CE254 CC264 CE264 CC268 CE268 CC272 CE272 CC282 CE282 CC286 CE286 CC290 CE290 CC300 CE300 CC304 CE304 CC308 CE308 CC318 CE318 CC322 CE322 CC326 CE326 CC336 CE336 CC340 CE340 CC344 CE344 CC354 CE354 CC358 CE358 CC362 CE362 CC370 CE370 CC374 CE374 CC378 CE378 CJ7 CL7 CJ46 CL46 CJ50 CL50 CJ54 CL54 CJ64 CL64 CJ68 CL68 CJ72 CL72 CJ82 CL82 CJ86 CL86 CJ90 CL90 CJ100 CL100 CJ104 CL104 CJ108 CL108 CJ118 CL118 CJ122 CL122 CJ126 CL126 CJ136 CL136 CJ140 CL140 CJ144 CL144 CJ148 CL148 CJ156 CL156 CJ160 CL160 CJ164 CL164 CJ174 CL174 CJ178 CL178 CJ182 CL182 CJ192 CL192 CJ196 CL196 CJ200 CL200 CJ210 CL210 CJ214 CL214 CJ218 CL218 CJ228 CL228 CJ232 CL232 CJ236 CL236 CJ246 CL246 CJ250 CL250 CJ254 CL254 CJ264 CL264 CJ268 CL268 CJ272 CL272 CJ282 CL282 CJ286 CL286 CJ290 CL290 CJ300 CL300 CJ304 CL304 CJ308 CL308 CJ318 CL318 CJ322 CL322 CJ326 CL326 CJ336 CL336 CJ340 CL340 CJ344 CL344 CJ354 CL354 CJ358 CL358 CJ362 CL362 CJ370 CL370 CJ374 CL374 CJ378 CL378 CQ7 CS7 CQ46 CS46 CQ50 CS50 CQ54 CS54 CQ64 CS64 CQ68 CS68 CQ72 CS72 CQ82 CS82 CQ86 CS86 CQ90 CS90 CQ100 CS100 CQ104 CS104 CQ108 CS108 CQ118 CS118 CQ122 CS122 CQ126 CS126 CQ136 CS136 CQ140 CS140 CQ144 CS144 CQ148 CS148 CQ156 CS156 CQ160 CS160 CQ164 CS164 CQ174 CS174 CQ178 CS178 CQ182 CS182 CQ192 CS192 CQ196 CS196 CQ200 CS200 CQ210 CS210 CQ214 CS214 CQ218 CS218 CQ228 CS228 CQ232 CS232 CQ236 CS236 CQ246 CS246 CQ250 CS250 CQ254 CS254 CQ264 CS264 CQ268 CS268 CQ272 CS272 CQ282 CS282 CQ286 CS286 CQ290 CS290 CQ300 CS300 CQ304 CS304 CQ308 CS308 CQ318 CS318 CQ322 CS322 CQ326 CS326 CQ336 CS336 CQ340 CS340 CQ344 CS344 CQ354 CS354 CQ358 CS358 CQ362 CS362 CQ370 CS370 CQ374 CS374 CQ378 CS378"/>
    <dataValidation allowBlank="1" showInputMessage="1" showErrorMessage="1" prompt="Для выбора выполните двойной щелчок левой клавиши мыши по соответствующей ячейке." sqref="Z65910 Z131446 Z196982 Z262518 Z328054 Z393590 Z459126 Z524662 Z590198 Z655734 Z721270 Z786806 Z852342 Z917878 Z983414 AB131446 AB459126 AB196982 AB262518 AB328054 AB393590 AB524662 AB590198 AB655734 AB721270 AB786806 AB852342 AB917878 AB983414 AB65910 AG65910 AG131446 AG196982 AG262518 AG328054 AG393590 AG459126 AG524662 AG590198 AG655734 AG721270 AG786806 AG852342 AG917878 AG983414 AI524662:CT524662 AI196982:CT196982 AI590198:CT590198 AI655734:CT655734 AI15 AI721270:CT721270 AI786806:CT786806 AI852342:CT852342 AI917878:CT917878 AI983414:CT983414 AI65910:CT65910 AI131446:CT131446 AI459126:CT459126 AI262518:CT262518 AI7 AN7 AP7 AU7 AW7 BB7 BD7 BI7 BK7 BP7 BR7 BW7 BY7 CD7 CF7 CK7 CM7 CR7 CT7 AG46 AI328054:CT328054 AG15 AG7 Z7 AB7 AI393590:CT393590 AI46 AN46 AP46 AU46 AW46 BB46 BD46 BI46 BK46 BP46 BR46 BW46 BY46 CD46 CF46 CK46 CM46 CR46 CT46 Z46 AB46 Z64 AB64 AG64 AI64 AN64 AP64 AU64 AW64 BB64 BD64 BI64 BK64 BP64 BR64 BW64 BY64 CD64 CF64 CK64 CM64 CR64 CT64 Z82 AB82 AG82 AI82 AN82 AP82 AU82 AW82 BB82 BD82 BI82 BK82 BP82 BR82 BW82 BY82 CD82 CF82 CK82 CM82 CR82 CT82 Z100 AB100 AG100 AI100 AN100 AP100 AU100 AW100 BB100 BD100 BI100 BK100 BP100 BR100 BW100 BY100 CD100 CF100 CK100 CM100 CR100 CT100 Z118 AB118 AG118 AI118 AN118 AP118 AU118 AW118 BB118 BD118 BI118 BK118 BP118 BR118 BW118 BY118 CD118 CF118 CK118 CM118 CR118 CT118 Z136 AB136 AG136 AI136 AN136 AP136 AU136 AW136 BB136 BD136 BI136 BK136 BP136 BR136 BW136 BY136 CD136 CF136 CK136 CM136 CR136 CT136 Z156 AB156 AG156 AI156 AN156 AP156 AU156 AW156 BB156 BD156 BI156 BK156 BP156 BR156 BW156 BY156 CD156 CF156 CK156 CM156 CR156 CT156 Z174 AB174 AG174 AI174 AN174 AP174 AU174 AW174 BB174 BD174 BI174 BK174 BP174 BR174 BW174 BY174 CD174 CF174 CK174 CM174 CR174 CT174 Z192 AB192 AG192 AI192 AN192 AP192 AU192 AW192 BB192 BD192 BI192 BK192 BP192 BR192 BW192 BY192 CD192 CF192 CK192 CM192 CR192 CT192 Z210 AB210 AG210 AI210 AN210 AP210 AU210 AW210 BB210 BD210 BI210 BK210 BP210 BR210 BW210 BY210 CD210 CF210 CK210 CM210 CR210 CT210 Z228 AB228 AG228 AI228 AN228 AP228 AU228 AW228 BB228 BD228 BI228 BK228 BP228 BR228 BW228 BY228 CD228 CF228 CK228 CM228 CR228 CT228 Z246 AB246 AG246 AI246 AN246 AP246 AU246 AW246 BB246 BD246 BI246 BK246 BP246 BR246 BW246 BY246 CD246 CF246 CK246 CM246 CR246 CT246 Z264 AB264 AG264 AI264 AN264 AP264 AU264 AW264 BB264 BD264 BI264 BK264 BP264 BR264 BW264 BY264 CD264 CF264 CK264 CM264 CR264 CT264 Z282 AB282 AG282 AI282 AN282 AP282 AU282 AW282 BB282 BD282 BI282 BK282 BP282 BR282 BW282 BY282 CD282 CF282 CK282 CM282 CR282 CT282 Z300 AB300 AG300 AI300 AN300 AP300 AU300 AW300 BB300 BD300 BI300 BK300 BP300 BR300 BW300 BY300 CD300 CF300 CK300 CM300 CR300 CT300 Z318 AB318 AG318 AI318 AN318 AP318 AU318 AW318 BB318 BD318 BI318 BK318 BP318 BR318 BW318 BY318 CD318 CF318 CK318 CM318 CR318 CT318 Z336 AB336 AG336 AI336 AN336 AP336 AU336 AW336 BB336 BD336 BI336 BK336 BP336 BR336 BW336 BY336 CD336 CF336 CK336 CM336 CR336 CT336 Z354 AB354 AG354 AI354 AN354 AP354 AU354 AW354 BB354 BD354 BI354 BK354 BP354 BR354 BW354 BY354 CD354 CF354 CK354 CM354 CR354 CT354 Z370 AB370 AG370 AI370 AN370 AP370 AU370 AW370 BB370 BD370 BI370 BK370 BP370 BR370 BW370 BY370 CD370 CF370 CK370 CM370 CR370 CT370 Z50 AB50 AG50 AI50 AN50 AP50 AU50 AW50 BB50 BD50 BI50 BK50 BP50 BR50 BW50 BY50 CD50 CF50 CK50 CM50 CR50 CT50 Z54 AB54 AG54 AI54 AN54 AP54 AU54 AW54 BB54 BD54 BI54 BK54 BP54 BR54 BW54 BY54 CD54 CF54 CK54 CM54 CR54 CT54 Z68 AB68 AG68 AI68 AN68 AP68 AU68 AW68 BB68 BD68 BI68 BK68 BP68 BR68 BW68 BY68 CD68 CF68 CK68 CM68 CR68 CT68 Z72 AB72 AG72 AI72 AN72 AP72 AU72 AW72 BB72 BD72 BI72 BK72 BP72 BR72 BW72 BY72 CD72 CF72 CK72 CM72 CR72 CT72 Z86 AB86 AG86 AI86 AN86 AP86 AU86 AW86 BB86 BD86 BI86 BK86 BP86 BR86 BW86 BY86 CD86 CF86 CK86 CM86 CR86 CT86 Z90 AB90 AG90 AI90 AN90 AP90 AU90 AW90 BB90 BD90 BI90 BK90 BP90 BR90 BW90 BY90 CD90 CF90 CK90 CM90 CR90 CT90 Z104 AB104 AG104 AI104 AN104 AP104 AU104 AW104 BB104 BD104 BI104 BK104 BP104 BR104 BW104 BY104 CD104 CF104 CK104 CM104 CR104 CT104 Z108 AB108 AG108 AI108 AN108 AP108 AU108 AW108 BB108 BD108 BI108 BK108 BP108 BR108 BW108 BY108 CD108 CF108 CK108 CM108 CR108 CT108 Z122 AB122 AG122 AI122 AN122 AP122 AU122 AW122 BB122 BD122 BI122 BK122 BP122 BR122 BW122 BY122 CD122 CF122 CK122 CM122 CR122 CT122 Z126 AB126 AG126 AI126 AN126 AP126 AU126 AW126 BB126 BD126 BI126 BK126 BP126 BR126 BW126 BY126 CD126 CF126 CK126 CM126 CR126 CT126 Z140 AB140 AG140 AI140 AN140 AP140 AU140 AW140 BB140 BD140 BI140 BK140 BP140 BR140 BW140 BY140 CD140 CF140 CK140 CM140 CR140 CT140 Z144 AB144 AG144 AI144 AN144 AP144 AU144 AW144 BB144 BD144 BI144 BK144 BP144 BR144 BW144 BY144 CD144 CF144 CK144 CM144 CR144 CT144 Z148 AB148 AG148 AI148 AN148 AP148 AU148 AW148 BB148 BD148 BI148 BK148 BP148 BR148 BW148 BY148 CD148 CF148 CK148 CM148 CR148 CT148 Z160 AB160 AG160 AI160 AN160 AP160 AU160 AW160 BB160 BD160 BI160 BK160 BP160 BR160 BW160 BY160 CD160 CF160 CK160 CM160 CR160 CT160 Z164 AB164 AG164 AI164 AN164 AP164 AU164 AW164 BB164 BD164 BI164 BK164 BP164 BR164 BW164 BY164 CD164 CF164 CK164 CM164 CR164 CT164 Z178 AB178 AG178 AI178 AN178 AP178 AU178 AW178 BB178 BD178 BI178 BK178 BP178 BR178 BW178 BY178 CD178 CF178 CK178 CM178 CR178 CT178 Z182 AB182 AG182 AI182 AN182 AP182 AU182 AW182 BB182 BD182 BI182 BK182 BP182 BR182 BW182 BY182 CD182 CF182 CK182 CM182 CR182 CT182 Z196 AB196 AG196 AI196 AN196 AP196 AU196 AW196 BB196 BD196 BI196 BK196 BP196 BR196 BW196 BY196 CD196 CF196 CK196 CM196 CR196 CT196 Z200 AB200 AG200 AI200 AN200 AP200 AU200 AW200 BB200 BD200 BI200 BK200 BP200 BR200 BW200 BY200 CD200 CF200 CK200 CM200 CR200 CT200 Z214 AB214 AG214 AI214 AN214 AP214 AU214 AW214 BB214 BD214 BI214 BK214 BP214 BR214 BW214 BY214 CD214 CF214 CK214 CM214 CR214 CT214 Z218 AB218 AG218 AI218 AN218 AP218 AU218 AW218 BB218 BD218 BI218 BK218 BP218 BR218 BW218 BY218 CD218 CF218 CK218 CM218 CR218 CT218 Z232 AB232 AG232 AI232 AN232 AP232 AU232 AW232 BB232 BD232 BI232 BK232 BP232 BR232 BW232 BY232 CD232 CF232 CK232 CM232 CR232 CT232 Z236 AB236 AG236 AI236 AN236 AP236 AU236 AW236 BB236 BD236 BI236 BK236 BP236 BR236 BW236 BY236 CD236 CF236 CK236 CM236 CR236 CT236 Z250 AB250 AG250 AI250 AN250 AP250 AU250 AW250 BB250 BD250 BI250 BK250 BP250 BR250 BW250 BY250 CD250 CF250 CK250 CM250 CR250 CT250 Z254 AB254 AG254 AI254 AN254 AP254 AU254 AW254 BB254 BD254 BI254 BK254 BP254 BR254 BW254 BY254 CD254 CF254 CK254 CM254 CR254 CT254 Z268 AB268 AG268 AI268 AN268 AP268 AU268 AW268 BB268 BD268 BI268 BK268 BP268 BR268 BW268 BY268 CD268 CF268 CK268 CM268 CR268 CT268 Z272 AB272 AG272 AI272 AN272 AP272 AU272 AW272 BB272 BD272 BI272 BK272 BP272 BR272 BW272 BY272 CD272 CF272 CK272 CM272 CR272 CT272 Z286 AB286 AG286 AI286 AN286 AP286 AU286 AW286 BB286 BD286 BI286 BK286 BP286 BR286 BW286 BY286 CD286 CF286 CK286 CM286 CR286 CT286 Z290 AB290 AG290 AI290 AN290 AP290 AU290 AW290 BB290 BD290 BI290 BK290 BP290 BR290 BW290 BY290 CD290 CF290 CK290 CM290 CR290 CT290 Z304 AB304 AG304 AI304 AN304 AP304 AU304 AW304 BB304 BD304 BI304 BK304 BP304 BR304 BW304 BY304 CD304 CF304 CK304 CM304 CR304 CT304 Z308 AB308 AG308 AI308 AN308 AP308 AU308 AW308 BB308 BD308 BI308 BK308 BP308 BR308 BW308 BY308 CD308 CF308 CK308 CM308 CR308 CT308 Z322 AB322 AG322 AI322 AN322 AP322 AU322 AW322 BB322 BD322 BI322 BK322 BP322 BR322 BW322 BY322 CD322 CF322 CK322 CM322 CR322 CT322 Z326 AB326 AG326 AI326 AN326 AP326 AU326 AW326 BB326 BD326 BI326 BK326 BP326 BR326 BW326 BY326 CD326 CF326 CK326 CM326 CR326 CT326 Z340 AB340 AG340 AI340 AN340 AP340 AU340 AW340 BB340 BD340 BI340 BK340 BP340 BR340 BW340 BY340 CD340 CF340 CK340 CM340 CR340 CT340 Z344 AB344 AG344 AI344 AN344 AP344 AU344 AW344 BB344 BD344 BI344 BK344 BP344 BR344 BW344 BY344 CD344 CF344 CK344 CM344 CR344 CT344 Z358 AB358 AG358 AI358 AN358 AP358 AU358 AW358 BB358 BD358 BI358 BK358 BP358 BR358 BW358 BY358 CD358 CF358 CK358 CM358 CR358 CT358 Z362 AB362 AG362 AI362 AN362 AP362 AU362 AW362 BB362 BD362 BI362 BK362 BP362 BR362 BW362 BY362 CD362 CF362 CK362 CM362 CR362 CT362 Z374 AB374 AG374 AI374 AN374 AP374 AU374 AW374 BB374 BD374 BI374 BK374 BP374 BR374 BW374 BY374 CD374 CF374 CK374 CM374 CR374 CT374 Z378 AB378 AG378 AI378 AN378 AP378 AU378 AW378 BB378 BD378 BI378 BK378 BP378 BR378 BW378 BY378 CD378 CF378 CK378 CM378 CR378 CT378"/>
    <dataValidation allowBlank="1" sqref="S131448:CV131454 S196984:CV196990 S262520:CV262526 S328056:CV328062 S393592:CV393598 S459128:CV459134 S524664:CV524670 S590200:CV590206 S655736:CV655742 S721272:CV721278 S786808:CV786814 S852344:CV852350 S917880:CV917886 S983416:CV983422 S65912:CV65918"/>
    <dataValidation type="list" allowBlank="1" showInputMessage="1" errorTitle="Ошибка" error="Выберите значение из списка" prompt="Выберите значение из списка" sqref="V983413:CU983413 V65909:CU65909 V131445:CU131445 V196981:CU196981 V262517:CU262517 V328053:CU328053 V393589:CU393589 V459125:CU459125 V524661:CU524661 V590197:CU590197 V655733:CU655733 V721269:CU721269 V786805:CU786805 V852341:CU852341 V917877:CU917877">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D7AB8D-0E87-187A-2A8F-7798997F7F61}"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22.5" hidden="1">
      <c r="X1" s="383"/>
      <c r="Y1" s="383"/>
      <c r="AE1" s="383"/>
      <c r="AF1" s="383"/>
      <c r="AQ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13">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2300"/>
      <c r="AK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56"/>
      <c r="AN2" s="556" t="str">
        <f>IF(T2="","",T2)</f>
        <v>Наименование тарифа</v>
      </c>
      <c r="AO2" s="556"/>
      <c r="AP2" s="556"/>
      <c r="AQ2" s="1211">
        <v>0</v>
      </c>
    </row>
    <row customHeight="1" ht="23.25" hidden="1">
      <c r="A3" s="1419"/>
      <c r="B3" s="1419"/>
      <c r="C3" s="1419"/>
      <c r="D3" s="1419"/>
      <c r="E3" s="2315"/>
      <c r="F3" s="2314">
        <v>1</v>
      </c>
      <c r="G3" s="1419"/>
      <c r="H3" s="1419"/>
      <c r="I3" s="1419"/>
      <c r="J3" s="1419"/>
      <c r="K3" s="1419"/>
      <c r="L3" s="1420"/>
      <c r="M3" s="1421"/>
      <c r="N3" s="1421"/>
      <c r="O3" s="1421"/>
      <c r="P3" s="1509"/>
      <c r="Q3" s="408"/>
      <c r="R3" s="409"/>
      <c r="S3" s="1513">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2300"/>
      <c r="AK3" s="1314" t="s">
        <v>530</v>
      </c>
      <c r="AM3" s="556"/>
      <c r="AN3" s="556" t="str">
        <f>IF(T3="","",T3)</f>
        <v>Территория действия тарифа</v>
      </c>
      <c r="AO3" s="556"/>
      <c r="AP3" s="556"/>
      <c r="AQ3" s="1211">
        <v>0</v>
      </c>
    </row>
    <row customHeight="1" ht="23.25" hidden="1">
      <c r="A4" s="1419"/>
      <c r="B4" s="1419"/>
      <c r="C4" s="1419"/>
      <c r="D4" s="1419"/>
      <c r="E4" s="2315"/>
      <c r="F4" s="2315"/>
      <c r="G4" s="2314">
        <v>1</v>
      </c>
      <c r="H4" s="1419"/>
      <c r="I4" s="1419"/>
      <c r="J4" s="1419"/>
      <c r="K4" s="1419"/>
      <c r="L4" s="1420"/>
      <c r="M4" s="1421"/>
      <c r="N4" s="1421"/>
      <c r="O4" s="1421"/>
      <c r="P4" s="410"/>
      <c r="Q4" s="408"/>
      <c r="R4" s="409"/>
      <c r="S4" s="1513">
        <f>INDEX(PT_DIFFERENTIATION_NUM_CS,MATCH(C4,PT_DIFFERENTIATION_CS_ID,0))</f>
      </c>
      <c r="T4" s="365" t="s">
        <v>610</v>
      </c>
      <c r="U4" s="356"/>
      <c r="V4" s="2298"/>
      <c r="W4" s="2299"/>
      <c r="X4" s="2299"/>
      <c r="Y4" s="2299"/>
      <c r="Z4" s="2299"/>
      <c r="AA4" s="2299"/>
      <c r="AB4" s="2300"/>
      <c r="AC4" s="2298">
        <f>INDEX(PT_DIFFERENTIATION_CS,MATCH(C4,PT_DIFFERENTIATION_CS_ID,0))</f>
      </c>
      <c r="AD4" s="2299"/>
      <c r="AE4" s="2299"/>
      <c r="AF4" s="2299"/>
      <c r="AG4" s="2299"/>
      <c r="AH4" s="2299"/>
      <c r="AI4" s="2299"/>
      <c r="AJ4" s="2300"/>
      <c r="AK4" s="1314" t="s">
        <v>611</v>
      </c>
      <c r="AM4" s="556"/>
      <c r="AN4" s="556" t="str">
        <f>IF(T4="","",T4)</f>
        <v>Наименование централизованной системы холодного водоснабжения</v>
      </c>
      <c r="AO4" s="556"/>
      <c r="AP4" s="556"/>
      <c r="AQ4" s="1211">
        <v>0</v>
      </c>
    </row>
    <row customHeight="1" ht="23.25" hidden="1">
      <c r="A5" s="1419"/>
      <c r="B5" s="1419"/>
      <c r="C5" s="1419"/>
      <c r="D5" s="1419"/>
      <c r="E5" s="2315"/>
      <c r="F5" s="2315"/>
      <c r="G5" s="2315"/>
      <c r="H5" s="2315"/>
      <c r="I5" s="2312">
        <f>S4&amp;".1"</f>
      </c>
      <c r="J5" s="1419"/>
      <c r="K5" s="1419"/>
      <c r="L5" s="1420"/>
      <c r="P5" s="2313">
        <v>1</v>
      </c>
      <c r="Q5" s="1506"/>
      <c r="R5" s="412"/>
      <c r="S5" s="1513">
        <f>$I5</f>
      </c>
      <c r="T5" s="341" t="s">
        <v>612</v>
      </c>
      <c r="U5" s="356"/>
      <c r="V5" s="2406"/>
      <c r="W5" s="2407"/>
      <c r="X5" s="2407"/>
      <c r="Y5" s="2407"/>
      <c r="Z5" s="2407"/>
      <c r="AA5" s="2407"/>
      <c r="AB5" s="2408"/>
      <c r="AC5" s="2409"/>
      <c r="AD5" s="2410"/>
      <c r="AE5" s="2410"/>
      <c r="AF5" s="2410"/>
      <c r="AG5" s="2410"/>
      <c r="AH5" s="2410"/>
      <c r="AI5" s="2410"/>
      <c r="AJ5" s="2411"/>
      <c r="AK5" s="1314" t="s">
        <v>613</v>
      </c>
      <c r="AM5" s="556"/>
      <c r="AN5" s="556" t="str">
        <f>IF(T5="","",T5)</f>
        <v>Наименование признака дифференциации</v>
      </c>
      <c r="AO5" s="556"/>
      <c r="AP5" s="556"/>
      <c r="AQ5" s="1211">
        <v>0</v>
      </c>
    </row>
    <row customHeight="1" ht="23.25" hidden="1">
      <c r="A6" s="1419"/>
      <c r="B6" s="1419"/>
      <c r="C6" s="1419"/>
      <c r="D6" s="1419"/>
      <c r="E6" s="2315"/>
      <c r="F6" s="2315"/>
      <c r="G6" s="2315"/>
      <c r="H6" s="2315"/>
      <c r="I6" s="2342"/>
      <c r="J6" s="2312">
        <f>I5&amp;".1"</f>
      </c>
      <c r="K6" s="1419"/>
      <c r="L6" s="1420" t="s">
        <v>538</v>
      </c>
      <c r="P6" s="2313"/>
      <c r="Q6" s="2313">
        <v>1</v>
      </c>
      <c r="R6" s="413"/>
      <c r="S6" s="1513">
        <f>$J6</f>
      </c>
      <c r="T6" s="342" t="s">
        <v>539</v>
      </c>
      <c r="U6" s="356"/>
      <c r="V6" s="2301"/>
      <c r="W6" s="2302"/>
      <c r="X6" s="2302"/>
      <c r="Y6" s="2302"/>
      <c r="Z6" s="2302"/>
      <c r="AA6" s="2302"/>
      <c r="AB6" s="2303"/>
      <c r="AC6" s="2301"/>
      <c r="AD6" s="2302"/>
      <c r="AE6" s="2302"/>
      <c r="AF6" s="2302"/>
      <c r="AG6" s="2302"/>
      <c r="AH6" s="2302"/>
      <c r="AI6" s="2302"/>
      <c r="AJ6" s="2303"/>
      <c r="AK6" s="1363" t="s">
        <v>614</v>
      </c>
      <c r="AM6" s="556"/>
      <c r="AN6" s="556" t="str">
        <f>IF(T6="","",T6)</f>
        <v>Группа потребителей</v>
      </c>
      <c r="AO6" s="556"/>
      <c r="AP6" s="556"/>
      <c r="AQ6" s="1211">
        <v>0</v>
      </c>
    </row>
    <row customHeight="1" ht="23.25" hidden="1">
      <c r="A7" s="1419"/>
      <c r="B7" s="1419"/>
      <c r="C7" s="1419"/>
      <c r="D7" s="1419"/>
      <c r="E7" s="2315"/>
      <c r="F7" s="2315"/>
      <c r="G7" s="2315"/>
      <c r="H7" s="2315"/>
      <c r="I7" s="2342"/>
      <c r="J7" s="2342"/>
      <c r="K7" s="2312">
        <f>J6&amp;".1"</f>
      </c>
      <c r="L7" s="1420"/>
      <c r="P7" s="2313"/>
      <c r="Q7" s="2313"/>
      <c r="R7" s="413">
        <v>1</v>
      </c>
      <c r="S7" s="1513">
        <f>$K7</f>
      </c>
      <c r="T7" s="1493"/>
      <c r="U7" s="356"/>
      <c r="V7" s="807"/>
      <c r="W7" s="807"/>
      <c r="X7" s="1313"/>
      <c r="Y7" s="2321"/>
      <c r="Z7" s="2163" t="s">
        <v>65</v>
      </c>
      <c r="AA7" s="2321"/>
      <c r="AB7" s="2163" t="s">
        <v>65</v>
      </c>
      <c r="AC7" s="807"/>
      <c r="AD7" s="807"/>
      <c r="AE7" s="1313"/>
      <c r="AF7" s="2321"/>
      <c r="AG7" s="2163" t="s">
        <v>65</v>
      </c>
      <c r="AH7" s="2343"/>
      <c r="AI7" s="2163" t="s">
        <v>65</v>
      </c>
      <c r="AJ7" s="1494"/>
      <c r="AK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67">
        <f>STRCHECKDATE(V8:AJ8)</f>
      </c>
      <c r="AM7" s="556"/>
      <c r="AN7" s="556" t="str">
        <f>IF(T7="","",T7)</f>
        <v/>
      </c>
      <c r="AO7" s="556"/>
      <c r="AP7" s="556"/>
      <c r="AQ7" s="1211">
        <v>0</v>
      </c>
    </row>
    <row customHeight="1" ht="14.25" hidden="1">
      <c r="A8" s="1419"/>
      <c r="B8" s="1419"/>
      <c r="C8" s="1419"/>
      <c r="D8" s="1419"/>
      <c r="E8" s="2315"/>
      <c r="F8" s="2315"/>
      <c r="G8" s="2315"/>
      <c r="H8" s="2315"/>
      <c r="I8" s="2342"/>
      <c r="J8" s="2342"/>
      <c r="K8" s="2312"/>
      <c r="L8" s="1420"/>
      <c r="P8" s="2313"/>
      <c r="Q8" s="2313"/>
      <c r="R8" s="413"/>
      <c r="S8" s="1512"/>
      <c r="T8" s="356"/>
      <c r="U8" s="356"/>
      <c r="V8" s="381"/>
      <c r="W8" s="381"/>
      <c r="X8" s="384" t="str">
        <f>Y7&amp;"-"&amp;AA7</f>
        <v>-</v>
      </c>
      <c r="Y8" s="2322"/>
      <c r="Z8" s="2163"/>
      <c r="AA8" s="2322"/>
      <c r="AB8" s="2163"/>
      <c r="AC8" s="381"/>
      <c r="AD8" s="381"/>
      <c r="AE8" s="384" t="str">
        <f>AF7&amp;"-"&amp;AH7</f>
        <v>-</v>
      </c>
      <c r="AF8" s="2322"/>
      <c r="AG8" s="2163"/>
      <c r="AH8" s="2344"/>
      <c r="AI8" s="2163"/>
      <c r="AJ8" s="1495"/>
      <c r="AK8" s="2405"/>
      <c r="AM8" s="556"/>
      <c r="AN8" s="556" t="str">
        <f>IF(T8="","",T8)</f>
        <v/>
      </c>
      <c r="AO8" s="556"/>
      <c r="AP8" s="556"/>
      <c r="AQ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423"/>
      <c r="AK9" s="1314" t="s">
        <v>616</v>
      </c>
      <c r="AM9" s="556"/>
      <c r="AN9" s="556" t="str">
        <f>IF(T9="","",T9)</f>
        <v>Добавить значение признака дифференциации</v>
      </c>
      <c r="AO9" s="556"/>
      <c r="AP9" s="556"/>
      <c r="AQ9" s="1211">
        <v>0</v>
      </c>
    </row>
    <row customHeight="1" ht="21" hidden="1">
      <c r="A10" s="1419"/>
      <c r="B10" s="1419"/>
      <c r="C10" s="1419"/>
      <c r="D10" s="1419"/>
      <c r="E10" s="2315"/>
      <c r="F10" s="2315"/>
      <c r="G10" s="2315"/>
      <c r="H10" s="2315"/>
      <c r="I10" s="2312"/>
      <c r="J10" s="1419"/>
      <c r="K10" s="1419"/>
      <c r="L10" s="1420"/>
      <c r="P10" s="2313"/>
      <c r="Q10" s="1506"/>
      <c r="R10" s="412"/>
      <c r="S10" s="1334"/>
      <c r="T10" s="421" t="s">
        <v>544</v>
      </c>
      <c r="U10" s="423"/>
      <c r="V10" s="423"/>
      <c r="W10" s="423"/>
      <c r="X10" s="423"/>
      <c r="Y10" s="423"/>
      <c r="Z10" s="423"/>
      <c r="AA10" s="423"/>
      <c r="AB10" s="422"/>
      <c r="AC10" s="423"/>
      <c r="AD10" s="423"/>
      <c r="AE10" s="423"/>
      <c r="AF10" s="423"/>
      <c r="AG10" s="423"/>
      <c r="AH10" s="423"/>
      <c r="AI10" s="422"/>
      <c r="AJ10" s="423"/>
      <c r="AK10" s="1496"/>
      <c r="AM10" s="556"/>
      <c r="AN10" s="556" t="str">
        <f>IF(T10="","",T10)</f>
        <v>Добавить группу потребителей</v>
      </c>
      <c r="AO10" s="556"/>
      <c r="AP10" s="556"/>
      <c r="AQ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23"/>
      <c r="AK11" s="359"/>
      <c r="AM11" s="556"/>
      <c r="AN11" s="556" t="str">
        <f>IF(T11="","",T11)</f>
        <v>Добавить наименование признака дифференциации</v>
      </c>
      <c r="AO11" s="556"/>
      <c r="AP11" s="556"/>
      <c r="AQ11" s="1211">
        <v>0</v>
      </c>
    </row>
    <row s="2851" customFormat="1" customHeight="1" ht="14.25" hidden="1">
      <c r="A12" s="1399"/>
      <c r="B12" s="1399"/>
      <c r="C12" s="1370"/>
      <c r="D12" s="1370"/>
      <c r="E12" s="2315"/>
      <c r="F12" s="2314"/>
      <c r="G12" s="1370"/>
      <c r="H12" s="1370"/>
      <c r="I12" s="1370"/>
      <c r="J12" s="1370"/>
      <c r="K12" s="1370"/>
      <c r="L12" s="1514"/>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M12" s="845"/>
      <c r="AN12" s="845" t="str">
        <f>IF(T12="","",T12)</f>
        <v>Добавить централизованную систему для дифференциации</v>
      </c>
      <c r="AO12" s="845"/>
      <c r="AP12" s="845"/>
      <c r="AQ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M13" s="556"/>
      <c r="AN13" s="556" t="str">
        <f>IF(T13="","",T13)</f>
        <v>Добавить территорию для дифференциации</v>
      </c>
      <c r="AO13" s="556"/>
      <c r="AP13" s="556"/>
      <c r="AQ13" s="567">
        <v>0</v>
      </c>
    </row>
    <row customHeight="1" ht="14.25" hidden="1">
      <c r="AB14" s="383"/>
      <c r="AI14" s="383"/>
      <c r="AQ14" s="1211">
        <v>0</v>
      </c>
    </row>
    <row customHeight="1" ht="14.25" hidden="1">
      <c r="AC15" s="1416"/>
      <c r="AD15" s="1416"/>
      <c r="AE15" s="1417"/>
      <c r="AF15" s="2323"/>
      <c r="AG15" s="2324" t="s">
        <v>65</v>
      </c>
      <c r="AH15" s="2323"/>
      <c r="AI15" s="2324" t="s">
        <v>65</v>
      </c>
      <c r="AQ15" s="1211">
        <v>0</v>
      </c>
    </row>
    <row customHeight="1" ht="14.25" hidden="1">
      <c r="AC16" s="1416"/>
      <c r="AD16" s="1416"/>
      <c r="AE16" s="384" t="str">
        <f>AF15&amp;"-"&amp;AH15</f>
        <v>-</v>
      </c>
      <c r="AF16" s="2324"/>
      <c r="AG16" s="2324"/>
      <c r="AH16" s="2324"/>
      <c r="AI16" s="2324"/>
      <c r="AQ16" s="1211">
        <v>0</v>
      </c>
    </row>
    <row customHeight="1" ht="14.25" hidden="1">
      <c r="AI17" s="383"/>
      <c r="AQ17" s="1211">
        <v>0</v>
      </c>
    </row>
    <row s="2850" customFormat="1" customHeight="1" ht="22.5" hidden="1">
      <c r="L18" s="1503"/>
      <c r="M18" s="1418"/>
      <c r="N18" s="1418"/>
      <c r="O18" s="1423" t="s">
        <v>547</v>
      </c>
      <c r="P18" s="1418"/>
      <c r="Q18" s="1427"/>
      <c r="R18" s="1427"/>
      <c r="S18" s="785"/>
      <c r="Y18" s="1423"/>
      <c r="AA18" s="1423"/>
      <c r="AB18" s="1422"/>
      <c r="AF18" s="1423"/>
      <c r="AH18" s="1423"/>
      <c r="AI18" s="1422"/>
      <c r="AL18" s="567"/>
      <c r="AM18" s="567"/>
      <c r="AN18" s="567"/>
      <c r="AO18" s="567"/>
      <c r="AP18" s="567"/>
      <c r="AQ18" s="1216">
        <v>0</v>
      </c>
    </row>
    <row s="2850" customFormat="1" customHeight="1" ht="14.25" hidden="1">
      <c r="L19" s="1503"/>
      <c r="M19" s="1418"/>
      <c r="N19" s="1418"/>
      <c r="O19" s="1418"/>
      <c r="P19" s="1418"/>
      <c r="Q19" s="1427"/>
      <c r="R19" s="1427"/>
      <c r="S19" s="785"/>
      <c r="AB19" s="1422"/>
      <c r="AI19" s="1422"/>
      <c r="AL19" s="567"/>
      <c r="AM19" s="567"/>
      <c r="AN19" s="567"/>
      <c r="AO19" s="567"/>
      <c r="AP19" s="567"/>
      <c r="AQ19" s="1216">
        <v>0</v>
      </c>
    </row>
    <row s="2850" customFormat="1" customHeight="1" ht="12" hidden="1">
      <c r="L20" s="1503"/>
      <c r="M20" s="1418"/>
      <c r="N20" s="1418"/>
      <c r="O20" s="1420" t="s">
        <v>548</v>
      </c>
      <c r="P20" s="1418"/>
      <c r="Q20" s="1498"/>
      <c r="R20" s="1498"/>
      <c r="S20" s="785"/>
      <c r="T20" s="1216" t="s">
        <v>549</v>
      </c>
      <c r="Z20" s="242" t="s">
        <v>550</v>
      </c>
      <c r="AB20" s="242" t="s">
        <v>551</v>
      </c>
      <c r="AC20" s="1216" t="s">
        <v>549</v>
      </c>
      <c r="AG20" s="242" t="s">
        <v>552</v>
      </c>
      <c r="AI20" s="242" t="s">
        <v>551</v>
      </c>
      <c r="AQ20" s="1216">
        <v>0</v>
      </c>
    </row>
    <row customHeight="1" ht="14.25" hidden="1">
      <c r="O21" s="1420"/>
      <c r="AQ21" s="1211">
        <v>0</v>
      </c>
    </row>
    <row customHeight="1" ht="14.25" hidden="1">
      <c r="O22" s="1420"/>
      <c r="AQ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Q23" s="1211">
        <v>14</v>
      </c>
    </row>
    <row customHeight="1" ht="14.699999999999998">
      <c r="Q24" s="432"/>
      <c r="R24" s="432"/>
      <c r="S24" s="230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Q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565"/>
      <c r="AQ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382"/>
      <c r="AK27" s="336"/>
      <c r="AL27" s="424"/>
      <c r="AM27" s="424"/>
      <c r="AN27" s="424"/>
      <c r="AO27" s="424"/>
      <c r="AP27" s="424"/>
      <c r="AQ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382"/>
      <c r="AK28" s="336"/>
      <c r="AL28" s="424"/>
      <c r="AM28" s="424"/>
      <c r="AN28" s="424"/>
      <c r="AO28" s="424"/>
      <c r="AP28" s="424"/>
      <c r="AQ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382"/>
      <c r="AK29" s="336"/>
      <c r="AL29" s="424"/>
      <c r="AM29" s="424"/>
      <c r="AN29" s="424"/>
      <c r="AO29" s="424"/>
      <c r="AP29" s="424"/>
      <c r="AQ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382"/>
      <c r="AK30" s="336"/>
      <c r="AL30" s="424"/>
      <c r="AM30" s="424"/>
      <c r="AN30" s="424"/>
      <c r="AO30" s="424"/>
      <c r="AP30" s="424"/>
      <c r="AQ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565"/>
      <c r="AQ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382"/>
      <c r="AK32" s="336"/>
      <c r="AL32" s="424"/>
      <c r="AM32" s="424"/>
      <c r="AN32" s="424"/>
      <c r="AO32" s="424"/>
      <c r="AP32" s="424"/>
      <c r="AQ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382"/>
      <c r="AK33" s="336"/>
      <c r="AL33" s="424"/>
      <c r="AM33" s="424"/>
      <c r="AN33" s="424"/>
      <c r="AO33" s="424"/>
      <c r="AP33" s="424"/>
      <c r="AQ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10"/>
      <c r="V34" s="382"/>
      <c r="W34" s="382"/>
      <c r="X34" s="382"/>
      <c r="Y34" s="382"/>
      <c r="Z34" s="382"/>
      <c r="AA34" s="382"/>
      <c r="AB34" s="334" t="s">
        <v>557</v>
      </c>
      <c r="AC34" s="382"/>
      <c r="AD34" s="382"/>
      <c r="AE34" s="382"/>
      <c r="AF34" s="382"/>
      <c r="AG34" s="382"/>
      <c r="AH34" s="382"/>
      <c r="AI34" s="334" t="s">
        <v>557</v>
      </c>
      <c r="AL34" s="424"/>
      <c r="AM34" s="424"/>
      <c r="AN34" s="424"/>
      <c r="AO34" s="424"/>
      <c r="AP34" s="424"/>
      <c r="AQ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Q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t="s">
        <v>433</v>
      </c>
      <c r="AQ36" s="1211">
        <v>14</v>
      </c>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2336" t="s">
        <v>562</v>
      </c>
      <c r="AK37" s="2183"/>
      <c r="AQ37" s="1211">
        <v>14</v>
      </c>
    </row>
    <row customHeight="1" ht="35.699999999999996">
      <c r="Q38" s="432"/>
      <c r="R38" s="432"/>
      <c r="S38" s="2329"/>
      <c r="T38" s="2265"/>
      <c r="U38" s="1087"/>
      <c r="V38" s="1508" t="s">
        <v>618</v>
      </c>
      <c r="W38" s="2318" t="s">
        <v>565</v>
      </c>
      <c r="X38" s="2319"/>
      <c r="Y38" s="2318" t="s">
        <v>566</v>
      </c>
      <c r="Z38" s="2325"/>
      <c r="AA38" s="2319"/>
      <c r="AB38" s="2334"/>
      <c r="AC38" s="1508" t="s">
        <v>618</v>
      </c>
      <c r="AD38" s="2318" t="s">
        <v>565</v>
      </c>
      <c r="AE38" s="2319"/>
      <c r="AF38" s="2318" t="s">
        <v>566</v>
      </c>
      <c r="AG38" s="2325"/>
      <c r="AH38" s="2319"/>
      <c r="AI38" s="2334"/>
      <c r="AJ38" s="2337"/>
      <c r="AK38" s="2183"/>
      <c r="AQ38" s="1211">
        <v>34</v>
      </c>
    </row>
    <row customHeight="1" ht="35.699999999999996">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508" t="s">
        <v>621</v>
      </c>
      <c r="W39" s="1278" t="s">
        <v>622</v>
      </c>
      <c r="X39" s="1278" t="s">
        <v>623</v>
      </c>
      <c r="Y39" s="1511" t="s">
        <v>576</v>
      </c>
      <c r="Z39" s="2326" t="s">
        <v>577</v>
      </c>
      <c r="AA39" s="2327"/>
      <c r="AB39" s="2335"/>
      <c r="AC39" s="1508" t="s">
        <v>621</v>
      </c>
      <c r="AD39" s="1278" t="s">
        <v>622</v>
      </c>
      <c r="AE39" s="1278" t="s">
        <v>623</v>
      </c>
      <c r="AF39" s="1511" t="s">
        <v>576</v>
      </c>
      <c r="AG39" s="2326" t="s">
        <v>577</v>
      </c>
      <c r="AH39" s="2327"/>
      <c r="AI39" s="2335"/>
      <c r="AJ39" s="2338"/>
      <c r="AK39" s="2183"/>
      <c r="AQ39" s="1211">
        <v>34</v>
      </c>
    </row>
    <row s="3442" customFormat="1" customHeight="1" ht="0">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507">
        <f>OFFSET(V40,0,-1)+1</f>
        <v>3</v>
      </c>
      <c r="W40" s="1507">
        <f>OFFSET(W40,0,-1)+1</f>
        <v>4</v>
      </c>
      <c r="X40" s="1507">
        <f>OFFSET(X40,0,-1)+1</f>
        <v>5</v>
      </c>
      <c r="Y40" s="1507">
        <f>OFFSET(Y40,0,-1)+1</f>
        <v>6</v>
      </c>
      <c r="Z40" s="2328">
        <f>OFFSET(Z40,0,-1)+1</f>
        <v>7</v>
      </c>
      <c r="AA40" s="2328"/>
      <c r="AB40" s="1507">
        <f>OFFSET(AB40,0,-2)+1</f>
        <v>8</v>
      </c>
      <c r="AC40" s="1507">
        <f>OFFSET(AC40,0,-1)+1</f>
        <v>9</v>
      </c>
      <c r="AD40" s="1507">
        <f>OFFSET(AD40,0,-1)+1</f>
        <v>10</v>
      </c>
      <c r="AE40" s="1507">
        <f>OFFSET(AE40,0,-1)+1</f>
        <v>11</v>
      </c>
      <c r="AF40" s="1507">
        <f>OFFSET(AF40,0,-1)+1</f>
        <v>12</v>
      </c>
      <c r="AG40" s="2328">
        <f>OFFSET(AG40,0,-1)+1</f>
        <v>13</v>
      </c>
      <c r="AH40" s="2328"/>
      <c r="AI40" s="1507">
        <f>OFFSET(AI40,0,-2)+1</f>
        <v>14</v>
      </c>
      <c r="AJ40" s="1301">
        <f>OFFSET(AJ40,0,-1)</f>
        <v>14</v>
      </c>
      <c r="AK40" s="1507">
        <f>OFFSET(AK40,0,-1)+1</f>
        <v>15</v>
      </c>
      <c r="AL40" s="567"/>
      <c r="AM40" s="567"/>
      <c r="AN40" s="567"/>
      <c r="AO40" s="567"/>
      <c r="AP40" s="567"/>
      <c r="AQ40" s="552">
        <v>0</v>
      </c>
    </row>
    <row customHeight="1" ht="24">
      <c r="A41" s="1419" t="s">
        <v>363</v>
      </c>
      <c r="B41" s="1419"/>
      <c r="C41" s="1419"/>
      <c r="D41" s="1419"/>
      <c r="E41" s="2314">
        <v>1</v>
      </c>
      <c r="F41" s="1419"/>
      <c r="G41" s="1419"/>
      <c r="H41" s="1419"/>
      <c r="I41" s="1419"/>
      <c r="J41" s="1419"/>
      <c r="K41" s="1419"/>
      <c r="L41" s="1420"/>
      <c r="M41" s="1421"/>
      <c r="N41" s="1421"/>
      <c r="O41" s="1421"/>
      <c r="P41" s="417"/>
      <c r="Q41" s="416"/>
      <c r="R41" s="411"/>
      <c r="S41" s="1513">
        <f>INDEX(PT_DIFFERENTIATION_NUM_NTAR,MATCH(A41,PT_DIFFERENTIATION_NTAR_ID,0))</f>
        <v>0</v>
      </c>
      <c r="T41" s="354" t="s">
        <v>202</v>
      </c>
      <c r="U41" s="356"/>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56"/>
      <c r="AN41" s="556" t="str">
        <f>IF(T41="","",T41)</f>
        <v>Наименование тарифа</v>
      </c>
      <c r="AO41" s="556"/>
      <c r="AP41" s="556"/>
      <c r="AQ41" s="1211">
        <v>23</v>
      </c>
    </row>
    <row customHeight="1" ht="24">
      <c r="A42" s="1419" t="s">
        <v>363</v>
      </c>
      <c r="B42" s="1419" t="s">
        <v>364</v>
      </c>
      <c r="C42" s="1419"/>
      <c r="D42" s="1419"/>
      <c r="E42" s="2315"/>
      <c r="F42" s="2314">
        <v>1</v>
      </c>
      <c r="G42" s="1419"/>
      <c r="H42" s="1419"/>
      <c r="I42" s="1419"/>
      <c r="J42" s="1419"/>
      <c r="K42" s="1419"/>
      <c r="L42" s="1420"/>
      <c r="M42" s="1421"/>
      <c r="N42" s="1421"/>
      <c r="O42" s="1421"/>
      <c r="P42" s="1509"/>
      <c r="Q42" s="408"/>
      <c r="R42" s="409"/>
      <c r="S42" s="1513" t="str">
        <f>INDEX(PT_DIFFERENTIATION_NUM_TER,MATCH(B42,PT_DIFFERENTIATION_TER_ID,0))</f>
        <v>.</v>
      </c>
      <c r="T42" s="364" t="s">
        <v>529</v>
      </c>
      <c r="U42" s="356"/>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314" t="s">
        <v>530</v>
      </c>
      <c r="AM42" s="556"/>
      <c r="AN42" s="556" t="str">
        <f>IF(T42="","",T42)</f>
        <v>Территория действия тарифа</v>
      </c>
      <c r="AO42" s="556"/>
      <c r="AP42" s="556"/>
      <c r="AQ42" s="1211">
        <v>23</v>
      </c>
    </row>
    <row customHeight="1" ht="24">
      <c r="A43" s="1419" t="s">
        <v>363</v>
      </c>
      <c r="B43" s="1419" t="s">
        <v>364</v>
      </c>
      <c r="C43" s="1419" t="s">
        <v>365</v>
      </c>
      <c r="D43" s="1419"/>
      <c r="E43" s="2315"/>
      <c r="F43" s="2315"/>
      <c r="G43" s="2314">
        <v>1</v>
      </c>
      <c r="H43" s="1419"/>
      <c r="I43" s="1419"/>
      <c r="J43" s="1419"/>
      <c r="K43" s="1419"/>
      <c r="L43" s="1420"/>
      <c r="M43" s="1421"/>
      <c r="N43" s="1421"/>
      <c r="O43" s="1421"/>
      <c r="P43" s="410"/>
      <c r="Q43" s="408"/>
      <c r="R43" s="409"/>
      <c r="S43" s="1513" t="str">
        <f>INDEX(PT_DIFFERENTIATION_NUM_CS,MATCH(C43,PT_DIFFERENTIATION_CS_ID,0))</f>
        <v>..</v>
      </c>
      <c r="T43" s="365" t="s">
        <v>610</v>
      </c>
      <c r="U43" s="356"/>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314" t="s">
        <v>611</v>
      </c>
      <c r="AM43" s="556"/>
      <c r="AN43" s="556" t="str">
        <f>IF(T43="","",T43)</f>
        <v>Наименование централизованной системы холодного водоснабжения</v>
      </c>
      <c r="AO43" s="556"/>
      <c r="AP43" s="556"/>
      <c r="AQ43" s="1211">
        <v>23</v>
      </c>
    </row>
    <row customHeight="1" ht="24">
      <c r="A44" s="1419" t="s">
        <v>363</v>
      </c>
      <c r="B44" s="1419" t="s">
        <v>364</v>
      </c>
      <c r="C44" s="1419" t="s">
        <v>365</v>
      </c>
      <c r="D44" s="1419" t="s">
        <v>629</v>
      </c>
      <c r="E44" s="2315"/>
      <c r="F44" s="2315"/>
      <c r="G44" s="2315"/>
      <c r="H44" s="2315"/>
      <c r="I44" s="2312" t="str">
        <f>S43&amp;".1"</f>
        <v>...1</v>
      </c>
      <c r="J44" s="1419"/>
      <c r="K44" s="1419"/>
      <c r="L44" s="1420"/>
      <c r="P44" s="2313">
        <v>1</v>
      </c>
      <c r="Q44" s="1506"/>
      <c r="R44" s="412"/>
      <c r="S44" s="1513" t="str">
        <f>$I44</f>
        <v>...1</v>
      </c>
      <c r="T44" s="341" t="s">
        <v>612</v>
      </c>
      <c r="U44" s="356"/>
      <c r="V44" s="2406"/>
      <c r="W44" s="2407"/>
      <c r="X44" s="2407"/>
      <c r="Y44" s="2407"/>
      <c r="Z44" s="2407"/>
      <c r="AA44" s="2407"/>
      <c r="AB44" s="2408"/>
      <c r="AC44" s="2409"/>
      <c r="AD44" s="2410"/>
      <c r="AE44" s="2410"/>
      <c r="AF44" s="2410"/>
      <c r="AG44" s="2410"/>
      <c r="AH44" s="2410"/>
      <c r="AI44" s="2410"/>
      <c r="AJ44" s="2411"/>
      <c r="AK44" s="1314" t="s">
        <v>613</v>
      </c>
      <c r="AM44" s="556"/>
      <c r="AN44" s="556" t="str">
        <f>IF(T44="","",T44)</f>
        <v>Наименование признака дифференциации</v>
      </c>
      <c r="AO44" s="556"/>
      <c r="AP44" s="556"/>
      <c r="AQ44" s="1211">
        <v>23</v>
      </c>
    </row>
    <row customHeight="1" ht="24">
      <c r="A45" s="1419" t="s">
        <v>363</v>
      </c>
      <c r="B45" s="1419" t="s">
        <v>364</v>
      </c>
      <c r="C45" s="1419" t="s">
        <v>365</v>
      </c>
      <c r="D45" s="1419" t="s">
        <v>629</v>
      </c>
      <c r="E45" s="2315"/>
      <c r="F45" s="2315"/>
      <c r="G45" s="2315"/>
      <c r="H45" s="2315"/>
      <c r="I45" s="2342"/>
      <c r="J45" s="2312" t="str">
        <f>I44&amp;".1"</f>
        <v>...1.1</v>
      </c>
      <c r="K45" s="1419"/>
      <c r="L45" s="1420" t="s">
        <v>538</v>
      </c>
      <c r="P45" s="2313"/>
      <c r="Q45" s="2313">
        <v>1</v>
      </c>
      <c r="R45" s="413"/>
      <c r="S45" s="1513" t="str">
        <f>$J45</f>
        <v>...1.1</v>
      </c>
      <c r="T45" s="342" t="s">
        <v>539</v>
      </c>
      <c r="U45" s="356"/>
      <c r="V45" s="2301"/>
      <c r="W45" s="2302"/>
      <c r="X45" s="2302"/>
      <c r="Y45" s="2302"/>
      <c r="Z45" s="2302"/>
      <c r="AA45" s="2302"/>
      <c r="AB45" s="2303"/>
      <c r="AC45" s="2301"/>
      <c r="AD45" s="2302"/>
      <c r="AE45" s="2302"/>
      <c r="AF45" s="2302"/>
      <c r="AG45" s="2302"/>
      <c r="AH45" s="2302"/>
      <c r="AI45" s="2302"/>
      <c r="AJ45" s="2303"/>
      <c r="AK45" s="1363" t="s">
        <v>614</v>
      </c>
      <c r="AM45" s="556"/>
      <c r="AN45" s="556" t="str">
        <f>IF(T45="","",T45)</f>
        <v>Группа потребителей</v>
      </c>
      <c r="AO45" s="556"/>
      <c r="AP45" s="556"/>
      <c r="AQ45" s="1211">
        <v>23</v>
      </c>
    </row>
    <row customHeight="1" ht="24">
      <c r="A46" s="1419" t="s">
        <v>363</v>
      </c>
      <c r="B46" s="1419" t="s">
        <v>364</v>
      </c>
      <c r="C46" s="1419" t="s">
        <v>365</v>
      </c>
      <c r="D46" s="1419" t="s">
        <v>629</v>
      </c>
      <c r="E46" s="2315"/>
      <c r="F46" s="2315"/>
      <c r="G46" s="2315"/>
      <c r="H46" s="2315"/>
      <c r="I46" s="2342"/>
      <c r="J46" s="2342"/>
      <c r="K46" s="2312" t="str">
        <f>J45&amp;".1"</f>
        <v>...1.1.1</v>
      </c>
      <c r="L46" s="1420"/>
      <c r="P46" s="2313"/>
      <c r="Q46" s="2313"/>
      <c r="R46" s="413">
        <v>1</v>
      </c>
      <c r="S46" s="1513" t="str">
        <f>$K46</f>
        <v>...1.1.1</v>
      </c>
      <c r="T46" s="1493"/>
      <c r="U46" s="356"/>
      <c r="V46" s="807"/>
      <c r="W46" s="807"/>
      <c r="X46" s="1313"/>
      <c r="Y46" s="2321"/>
      <c r="Z46" s="2163" t="s">
        <v>65</v>
      </c>
      <c r="AA46" s="2321"/>
      <c r="AB46" s="2163" t="s">
        <v>65</v>
      </c>
      <c r="AC46" s="807"/>
      <c r="AD46" s="807"/>
      <c r="AE46" s="1313"/>
      <c r="AF46" s="2321"/>
      <c r="AG46" s="2163" t="s">
        <v>65</v>
      </c>
      <c r="AH46" s="2343"/>
      <c r="AI46" s="2163" t="s">
        <v>65</v>
      </c>
      <c r="AJ46" s="1494"/>
      <c r="AK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67">
        <f>STRCHECKDATE(V47:AJ47)</f>
      </c>
      <c r="AM46" s="556"/>
      <c r="AN46" s="556" t="str">
        <f>IF(T46="","",T46)</f>
        <v/>
      </c>
      <c r="AO46" s="556"/>
      <c r="AP46" s="556"/>
      <c r="AQ46" s="1211">
        <v>23</v>
      </c>
    </row>
    <row customHeight="1" ht="0">
      <c r="A47" s="1419" t="s">
        <v>363</v>
      </c>
      <c r="B47" s="1419" t="s">
        <v>364</v>
      </c>
      <c r="C47" s="1419" t="s">
        <v>365</v>
      </c>
      <c r="D47" s="1419" t="s">
        <v>629</v>
      </c>
      <c r="E47" s="2315"/>
      <c r="F47" s="2315"/>
      <c r="G47" s="2315"/>
      <c r="H47" s="2315"/>
      <c r="I47" s="2342"/>
      <c r="J47" s="2342"/>
      <c r="K47" s="2312"/>
      <c r="L47" s="1420"/>
      <c r="P47" s="2313"/>
      <c r="Q47" s="2313"/>
      <c r="R47" s="413"/>
      <c r="S47" s="1512"/>
      <c r="T47" s="356"/>
      <c r="U47" s="356"/>
      <c r="V47" s="381"/>
      <c r="W47" s="381"/>
      <c r="X47" s="384" t="str">
        <f>Y46&amp;"-"&amp;AA46</f>
        <v>-</v>
      </c>
      <c r="Y47" s="2322"/>
      <c r="Z47" s="2163"/>
      <c r="AA47" s="2322"/>
      <c r="AB47" s="2163"/>
      <c r="AC47" s="381"/>
      <c r="AD47" s="381"/>
      <c r="AE47" s="384" t="str">
        <f>AF46&amp;"-"&amp;AH46</f>
        <v>-</v>
      </c>
      <c r="AF47" s="2322"/>
      <c r="AG47" s="2163"/>
      <c r="AH47" s="2344"/>
      <c r="AI47" s="2163"/>
      <c r="AJ47" s="1495"/>
      <c r="AK47" s="2405"/>
      <c r="AM47" s="556"/>
      <c r="AN47" s="556" t="str">
        <f>IF(T47="","",T47)</f>
        <v/>
      </c>
      <c r="AO47" s="556"/>
      <c r="AP47" s="556"/>
      <c r="AQ47" s="1211">
        <v>0</v>
      </c>
    </row>
    <row customHeight="1" ht="21">
      <c r="A48" s="1419" t="s">
        <v>363</v>
      </c>
      <c r="B48" s="1419" t="s">
        <v>364</v>
      </c>
      <c r="C48" s="1419" t="s">
        <v>365</v>
      </c>
      <c r="D48" s="1419" t="s">
        <v>629</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23"/>
      <c r="AK48" s="1314" t="s">
        <v>616</v>
      </c>
      <c r="AM48" s="556"/>
      <c r="AN48" s="556" t="str">
        <f>IF(T48="","",T48)</f>
        <v>Добавить значение признака дифференциации</v>
      </c>
      <c r="AO48" s="556"/>
      <c r="AP48" s="556"/>
      <c r="AQ48" s="1211">
        <v>20</v>
      </c>
    </row>
    <row customHeight="1" ht="22.049999999999997">
      <c r="A49" s="1419" t="s">
        <v>363</v>
      </c>
      <c r="B49" s="1419" t="s">
        <v>364</v>
      </c>
      <c r="C49" s="1419" t="s">
        <v>365</v>
      </c>
      <c r="D49" s="1419" t="s">
        <v>629</v>
      </c>
      <c r="E49" s="2315"/>
      <c r="F49" s="2315"/>
      <c r="G49" s="2315"/>
      <c r="H49" s="2315"/>
      <c r="I49" s="2312"/>
      <c r="J49" s="1419"/>
      <c r="K49" s="1419"/>
      <c r="L49" s="1420"/>
      <c r="P49" s="2313"/>
      <c r="Q49" s="1506"/>
      <c r="R49" s="412"/>
      <c r="S49" s="1334"/>
      <c r="T49" s="421" t="s">
        <v>544</v>
      </c>
      <c r="U49" s="423"/>
      <c r="V49" s="423"/>
      <c r="W49" s="423"/>
      <c r="X49" s="423"/>
      <c r="Y49" s="423"/>
      <c r="Z49" s="423"/>
      <c r="AA49" s="423"/>
      <c r="AB49" s="422"/>
      <c r="AC49" s="423"/>
      <c r="AD49" s="423"/>
      <c r="AE49" s="423"/>
      <c r="AF49" s="423"/>
      <c r="AG49" s="423"/>
      <c r="AH49" s="423"/>
      <c r="AI49" s="422"/>
      <c r="AJ49" s="423"/>
      <c r="AK49" s="1496"/>
      <c r="AM49" s="556"/>
      <c r="AN49" s="556" t="str">
        <f>IF(T49="","",T49)</f>
        <v>Добавить группу потребителей</v>
      </c>
      <c r="AO49" s="556"/>
      <c r="AP49" s="556"/>
      <c r="AQ49" s="1211">
        <v>21</v>
      </c>
    </row>
    <row customHeight="1" ht="22.049999999999997">
      <c r="A50" s="1419" t="s">
        <v>363</v>
      </c>
      <c r="B50" s="1419" t="s">
        <v>364</v>
      </c>
      <c r="C50" s="1419" t="s">
        <v>365</v>
      </c>
      <c r="D50" s="1419" t="s">
        <v>629</v>
      </c>
      <c r="E50" s="2315"/>
      <c r="F50" s="2315"/>
      <c r="G50" s="2315"/>
      <c r="H50" s="2314"/>
      <c r="I50" s="1419"/>
      <c r="J50" s="1419"/>
      <c r="K50" s="1419"/>
      <c r="L50" s="1420"/>
      <c r="M50" s="1421"/>
      <c r="N50" s="1421"/>
      <c r="O50" s="593"/>
      <c r="P50" s="416"/>
      <c r="Q50" s="431"/>
      <c r="R50" s="411"/>
      <c r="S50" s="1334"/>
      <c r="T50" s="428" t="s">
        <v>617</v>
      </c>
      <c r="U50" s="423"/>
      <c r="V50" s="423"/>
      <c r="W50" s="423"/>
      <c r="X50" s="423"/>
      <c r="Y50" s="423"/>
      <c r="Z50" s="423"/>
      <c r="AA50" s="423"/>
      <c r="AB50" s="422"/>
      <c r="AC50" s="423"/>
      <c r="AD50" s="423"/>
      <c r="AE50" s="423"/>
      <c r="AF50" s="423"/>
      <c r="AG50" s="423"/>
      <c r="AH50" s="423"/>
      <c r="AI50" s="422"/>
      <c r="AJ50" s="423"/>
      <c r="AK50" s="359"/>
      <c r="AM50" s="556"/>
      <c r="AN50" s="556" t="str">
        <f>IF(T50="","",T50)</f>
        <v>Добавить наименование признака дифференциации</v>
      </c>
      <c r="AO50" s="556"/>
      <c r="AP50" s="556"/>
      <c r="AQ50" s="1211">
        <v>21</v>
      </c>
    </row>
    <row s="2851" customFormat="1" customHeight="1" ht="0">
      <c r="A51" s="1399" t="s">
        <v>363</v>
      </c>
      <c r="B51" s="1399" t="s">
        <v>364</v>
      </c>
      <c r="C51" s="1370"/>
      <c r="D51" s="1370"/>
      <c r="E51" s="2315"/>
      <c r="F51" s="2314"/>
      <c r="G51" s="1370"/>
      <c r="H51" s="1370"/>
      <c r="I51" s="1370"/>
      <c r="J51" s="1370"/>
      <c r="K51" s="1370"/>
      <c r="L51" s="1514"/>
      <c r="M51" s="1377"/>
      <c r="N51" s="1377"/>
      <c r="P51" s="1372"/>
      <c r="Q51" s="1373"/>
      <c r="R51" s="1372"/>
      <c r="S51" s="1378"/>
      <c r="T51" s="1381" t="s">
        <v>302</v>
      </c>
      <c r="U51" s="1380"/>
      <c r="V51" s="1380"/>
      <c r="W51" s="1380"/>
      <c r="X51" s="1380"/>
      <c r="Y51" s="1380"/>
      <c r="Z51" s="1380"/>
      <c r="AA51" s="1380"/>
      <c r="AB51" s="1380"/>
      <c r="AC51" s="1380"/>
      <c r="AD51" s="1380"/>
      <c r="AE51" s="1380"/>
      <c r="AF51" s="1380"/>
      <c r="AG51" s="1380"/>
      <c r="AH51" s="1380"/>
      <c r="AI51" s="1380"/>
      <c r="AJ51" s="1380"/>
      <c r="AK51" s="1380"/>
      <c r="AM51" s="845"/>
      <c r="AN51" s="845" t="str">
        <f>IF(T51="","",T51)</f>
        <v>Добавить централизованную систему для дифференциации</v>
      </c>
      <c r="AO51" s="845"/>
      <c r="AP51" s="845"/>
      <c r="AQ51" s="574">
        <v>0</v>
      </c>
    </row>
    <row s="2851" customFormat="1" customHeight="1" ht="0">
      <c r="A52" s="1399" t="s">
        <v>363</v>
      </c>
      <c r="B52" s="1399"/>
      <c r="C52" s="1399"/>
      <c r="D52" s="1399"/>
      <c r="E52" s="2314"/>
      <c r="F52" s="1399"/>
      <c r="G52" s="1399"/>
      <c r="H52" s="1399"/>
      <c r="I52" s="1399"/>
      <c r="J52" s="1399"/>
      <c r="K52" s="1399"/>
      <c r="L52" s="1402"/>
      <c r="M52" s="1377"/>
      <c r="N52" s="1377"/>
      <c r="O52" s="574"/>
      <c r="P52" s="436"/>
      <c r="Q52" s="1400"/>
      <c r="R52" s="436"/>
      <c r="S52" s="1378"/>
      <c r="T52" s="1381" t="s">
        <v>359</v>
      </c>
      <c r="U52" s="1380"/>
      <c r="V52" s="1380"/>
      <c r="W52" s="1380"/>
      <c r="X52" s="1380"/>
      <c r="Y52" s="1380"/>
      <c r="Z52" s="1380"/>
      <c r="AA52" s="1380"/>
      <c r="AB52" s="1380"/>
      <c r="AC52" s="1380"/>
      <c r="AD52" s="1380"/>
      <c r="AE52" s="1380"/>
      <c r="AF52" s="1380"/>
      <c r="AG52" s="1380"/>
      <c r="AH52" s="1380"/>
      <c r="AI52" s="1380"/>
      <c r="AJ52" s="1380"/>
      <c r="AK52" s="1380"/>
      <c r="AM52" s="556"/>
      <c r="AN52" s="556" t="str">
        <f>IF(T52="","",T52)</f>
        <v>Добавить территорию для дифференциации</v>
      </c>
      <c r="AO52" s="556"/>
      <c r="AP52" s="556"/>
      <c r="AQ52" s="567">
        <v>0</v>
      </c>
    </row>
    <row s="2851" customFormat="1" customHeight="1" ht="0">
      <c r="A53" s="1370"/>
      <c r="B53" s="1370"/>
      <c r="C53" s="1370"/>
      <c r="D53" s="1370"/>
      <c r="E53" s="1399"/>
      <c r="F53" s="1370"/>
      <c r="G53" s="1370"/>
      <c r="H53" s="1370"/>
      <c r="I53" s="1370"/>
      <c r="J53" s="1370"/>
      <c r="K53" s="1370"/>
      <c r="L53" s="1514"/>
      <c r="M53" s="1377"/>
      <c r="N53" s="1377"/>
      <c r="P53" s="1372"/>
      <c r="Q53" s="1373"/>
      <c r="R53" s="1372"/>
      <c r="S53" s="1378"/>
      <c r="T53" s="1381" t="s">
        <v>360</v>
      </c>
      <c r="U53" s="1380"/>
      <c r="V53" s="1380"/>
      <c r="W53" s="1380"/>
      <c r="X53" s="1380"/>
      <c r="Y53" s="1380"/>
      <c r="Z53" s="1380"/>
      <c r="AA53" s="1380"/>
      <c r="AB53" s="1380"/>
      <c r="AC53" s="1380"/>
      <c r="AD53" s="1380"/>
      <c r="AE53" s="1380"/>
      <c r="AF53" s="1380"/>
      <c r="AG53" s="1380"/>
      <c r="AH53" s="1380"/>
      <c r="AI53" s="1380"/>
      <c r="AJ53" s="1380"/>
      <c r="AK53" s="1380"/>
      <c r="AM53" s="845"/>
      <c r="AN53" s="845" t="str">
        <f>IF(T53="","",T53)</f>
        <v>Добавить наименование тарифа</v>
      </c>
      <c r="AO53" s="845"/>
      <c r="AP53" s="845"/>
      <c r="AQ53" s="574">
        <v>0</v>
      </c>
    </row>
    <row customHeight="1" ht="11.549999999999999">
      <c r="M54" s="1216"/>
      <c r="N54" s="1216"/>
      <c r="O54" s="593"/>
      <c r="P54" s="1211"/>
      <c r="Q54" s="1211"/>
      <c r="R54" s="1211"/>
      <c r="S54" s="1211"/>
      <c r="AL54" s="1211"/>
      <c r="AM54" s="1211"/>
      <c r="AN54" s="1211"/>
      <c r="AO54" s="1211"/>
      <c r="AP54" s="1211"/>
      <c r="AQ54" s="1211">
        <v>11</v>
      </c>
    </row>
    <row customHeight="1" ht="14.699999999999998">
      <c r="O55" s="593"/>
      <c r="S55" s="1309"/>
      <c r="T55" s="2341"/>
      <c r="U55" s="2341"/>
      <c r="V55" s="2341"/>
      <c r="W55" s="2341"/>
      <c r="X55" s="2341"/>
      <c r="Y55" s="2341"/>
      <c r="Z55" s="2341"/>
      <c r="AA55" s="2341"/>
      <c r="AB55" s="2341"/>
      <c r="AC55" s="2341"/>
      <c r="AD55" s="2341"/>
      <c r="AE55" s="2341"/>
      <c r="AF55" s="2341"/>
      <c r="AG55" s="2341"/>
      <c r="AH55" s="2341"/>
      <c r="AI55" s="2341"/>
      <c r="AJ55" s="2341"/>
      <c r="AK55" s="2341"/>
      <c r="AQ55" s="1211">
        <v>14</v>
      </c>
    </row>
    <row customHeight="1" ht="14.699999999999998">
      <c r="O56" s="593"/>
      <c r="AQ56" s="1211">
        <v>14</v>
      </c>
    </row>
    <row customHeight="1" ht="14.699999999999998">
      <c r="O57" s="593"/>
      <c r="S57" s="1309"/>
      <c r="T57" s="2341"/>
      <c r="U57" s="2341"/>
      <c r="V57" s="2341"/>
      <c r="W57" s="2341"/>
      <c r="X57" s="2341"/>
      <c r="Y57" s="2341"/>
      <c r="Z57" s="2341"/>
      <c r="AA57" s="2341"/>
      <c r="AB57" s="2341"/>
      <c r="AC57" s="2341"/>
      <c r="AD57" s="2341"/>
      <c r="AE57" s="2341"/>
      <c r="AF57" s="2341"/>
      <c r="AG57" s="2341"/>
      <c r="AH57" s="2341"/>
      <c r="AI57" s="2341"/>
      <c r="AJ57" s="2341"/>
      <c r="AK57" s="2341"/>
      <c r="AQ57" s="1211">
        <v>14</v>
      </c>
    </row>
    <row customHeight="1" ht="22.5" hidden="1">
      <c r="A58" s="1216" t="s">
        <v>86</v>
      </c>
      <c r="B58" s="1216">
        <v>0</v>
      </c>
      <c r="C58" s="1216">
        <v>0</v>
      </c>
      <c r="D58" s="1216">
        <v>0</v>
      </c>
      <c r="E58" s="1216">
        <v>0</v>
      </c>
      <c r="F58" s="1216">
        <v>0</v>
      </c>
      <c r="G58" s="1216">
        <v>0</v>
      </c>
      <c r="H58" s="1216">
        <v>0</v>
      </c>
      <c r="I58" s="1216">
        <v>0</v>
      </c>
      <c r="J58" s="1216">
        <v>0</v>
      </c>
      <c r="K58" s="1216">
        <v>0</v>
      </c>
      <c r="L58" s="1503">
        <v>0</v>
      </c>
      <c r="M58" s="1418">
        <v>0</v>
      </c>
      <c r="N58" s="1418">
        <v>0</v>
      </c>
      <c r="O58" s="1418">
        <v>0</v>
      </c>
      <c r="P58" s="1502">
        <v>3</v>
      </c>
      <c r="Q58" s="400">
        <v>3</v>
      </c>
      <c r="R58" s="400">
        <v>3</v>
      </c>
      <c r="S58" s="637">
        <v>12</v>
      </c>
      <c r="T58" s="1211">
        <v>35</v>
      </c>
      <c r="U58" s="1211">
        <v>0</v>
      </c>
      <c r="V58" s="1211">
        <v>0</v>
      </c>
      <c r="W58" s="1211">
        <v>0</v>
      </c>
      <c r="X58" s="1211">
        <v>0</v>
      </c>
      <c r="Y58" s="1211">
        <v>0</v>
      </c>
      <c r="Z58" s="1211">
        <v>0</v>
      </c>
      <c r="AA58" s="1211">
        <v>0</v>
      </c>
      <c r="AB58" s="1211">
        <v>0</v>
      </c>
      <c r="AC58" s="1211">
        <v>24</v>
      </c>
      <c r="AD58" s="1211">
        <v>24</v>
      </c>
      <c r="AE58" s="1211">
        <v>24</v>
      </c>
      <c r="AF58" s="1211">
        <v>11</v>
      </c>
      <c r="AG58" s="1211">
        <v>3</v>
      </c>
      <c r="AH58" s="1211">
        <v>11</v>
      </c>
      <c r="AI58" s="1211">
        <v>0</v>
      </c>
      <c r="AJ58" s="1211">
        <v>4</v>
      </c>
      <c r="AK58" s="1211">
        <v>115</v>
      </c>
      <c r="AL58" s="567">
        <v>10</v>
      </c>
      <c r="AM58" s="567">
        <v>10</v>
      </c>
      <c r="AN58" s="567">
        <v>10</v>
      </c>
      <c r="AO58" s="567">
        <v>10</v>
      </c>
      <c r="AP58" s="567">
        <v>10</v>
      </c>
      <c r="AQ58" s="1211">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5561DB-CF9D-F482-561F-92215BC0E53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22.5" hidden="1">
      <c r="X1" s="383"/>
      <c r="Y1" s="383"/>
      <c r="AE1" s="383"/>
      <c r="AF1" s="383"/>
      <c r="AQ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13">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2300"/>
      <c r="AK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56"/>
      <c r="AN2" s="556" t="str">
        <f>IF(T2="","",T2)</f>
        <v>Наименование тарифа</v>
      </c>
      <c r="AO2" s="556"/>
      <c r="AP2" s="556"/>
      <c r="AQ2" s="1211">
        <v>0</v>
      </c>
    </row>
    <row customHeight="1" ht="23.25" hidden="1">
      <c r="A3" s="1419"/>
      <c r="B3" s="1419"/>
      <c r="C3" s="1419"/>
      <c r="D3" s="1419"/>
      <c r="E3" s="2315"/>
      <c r="F3" s="2314">
        <v>1</v>
      </c>
      <c r="G3" s="1419"/>
      <c r="H3" s="1419"/>
      <c r="I3" s="1419"/>
      <c r="J3" s="1419"/>
      <c r="K3" s="1419"/>
      <c r="L3" s="1420"/>
      <c r="M3" s="1421"/>
      <c r="N3" s="1421"/>
      <c r="O3" s="1421"/>
      <c r="P3" s="1509"/>
      <c r="Q3" s="408"/>
      <c r="R3" s="409"/>
      <c r="S3" s="1513">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2300"/>
      <c r="AK3" s="1314" t="s">
        <v>530</v>
      </c>
      <c r="AM3" s="556"/>
      <c r="AN3" s="556" t="str">
        <f>IF(T3="","",T3)</f>
        <v>Территория действия тарифа</v>
      </c>
      <c r="AO3" s="556"/>
      <c r="AP3" s="556"/>
      <c r="AQ3" s="1211">
        <v>0</v>
      </c>
    </row>
    <row customHeight="1" ht="23.25" hidden="1">
      <c r="A4" s="1419"/>
      <c r="B4" s="1419"/>
      <c r="C4" s="1419"/>
      <c r="D4" s="1419"/>
      <c r="E4" s="2315"/>
      <c r="F4" s="2315"/>
      <c r="G4" s="2314">
        <v>1</v>
      </c>
      <c r="H4" s="1419"/>
      <c r="I4" s="1419"/>
      <c r="J4" s="1419"/>
      <c r="K4" s="1419"/>
      <c r="L4" s="1420"/>
      <c r="M4" s="1421"/>
      <c r="N4" s="1421"/>
      <c r="O4" s="1421"/>
      <c r="P4" s="410"/>
      <c r="Q4" s="408"/>
      <c r="R4" s="409"/>
      <c r="S4" s="1513">
        <f>INDEX(PT_DIFFERENTIATION_NUM_CS,MATCH(C4,PT_DIFFERENTIATION_CS_ID,0))</f>
      </c>
      <c r="T4" s="365" t="s">
        <v>610</v>
      </c>
      <c r="U4" s="356"/>
      <c r="V4" s="2298"/>
      <c r="W4" s="2299"/>
      <c r="X4" s="2299"/>
      <c r="Y4" s="2299"/>
      <c r="Z4" s="2299"/>
      <c r="AA4" s="2299"/>
      <c r="AB4" s="2300"/>
      <c r="AC4" s="2298">
        <f>INDEX(PT_DIFFERENTIATION_CS,MATCH(C4,PT_DIFFERENTIATION_CS_ID,0))</f>
      </c>
      <c r="AD4" s="2299"/>
      <c r="AE4" s="2299"/>
      <c r="AF4" s="2299"/>
      <c r="AG4" s="2299"/>
      <c r="AH4" s="2299"/>
      <c r="AI4" s="2299"/>
      <c r="AJ4" s="2300"/>
      <c r="AK4" s="1314" t="s">
        <v>611</v>
      </c>
      <c r="AM4" s="556"/>
      <c r="AN4" s="556" t="str">
        <f>IF(T4="","",T4)</f>
        <v>Наименование централизованной системы холодного водоснабжения</v>
      </c>
      <c r="AO4" s="556"/>
      <c r="AP4" s="556"/>
      <c r="AQ4" s="1211">
        <v>0</v>
      </c>
    </row>
    <row customHeight="1" ht="23.25" hidden="1">
      <c r="A5" s="1419"/>
      <c r="B5" s="1419"/>
      <c r="C5" s="1419"/>
      <c r="D5" s="1419"/>
      <c r="E5" s="2315"/>
      <c r="F5" s="2315"/>
      <c r="G5" s="2315"/>
      <c r="H5" s="2315"/>
      <c r="I5" s="2312">
        <f>S4&amp;".1"</f>
      </c>
      <c r="J5" s="1419"/>
      <c r="K5" s="1419"/>
      <c r="L5" s="1420"/>
      <c r="P5" s="2313">
        <v>1</v>
      </c>
      <c r="Q5" s="1506"/>
      <c r="R5" s="412"/>
      <c r="S5" s="1513">
        <f>$I5</f>
      </c>
      <c r="T5" s="341" t="s">
        <v>612</v>
      </c>
      <c r="U5" s="356"/>
      <c r="V5" s="2406"/>
      <c r="W5" s="2407"/>
      <c r="X5" s="2407"/>
      <c r="Y5" s="2407"/>
      <c r="Z5" s="2407"/>
      <c r="AA5" s="2407"/>
      <c r="AB5" s="2408"/>
      <c r="AC5" s="2409"/>
      <c r="AD5" s="2410"/>
      <c r="AE5" s="2410"/>
      <c r="AF5" s="2410"/>
      <c r="AG5" s="2410"/>
      <c r="AH5" s="2410"/>
      <c r="AI5" s="2410"/>
      <c r="AJ5" s="2411"/>
      <c r="AK5" s="1314" t="s">
        <v>613</v>
      </c>
      <c r="AM5" s="556"/>
      <c r="AN5" s="556" t="str">
        <f>IF(T5="","",T5)</f>
        <v>Наименование признака дифференциации</v>
      </c>
      <c r="AO5" s="556"/>
      <c r="AP5" s="556"/>
      <c r="AQ5" s="1211">
        <v>0</v>
      </c>
    </row>
    <row customHeight="1" ht="23.25" hidden="1">
      <c r="A6" s="1419"/>
      <c r="B6" s="1419"/>
      <c r="C6" s="1419"/>
      <c r="D6" s="1419"/>
      <c r="E6" s="2315"/>
      <c r="F6" s="2315"/>
      <c r="G6" s="2315"/>
      <c r="H6" s="2315"/>
      <c r="I6" s="2342"/>
      <c r="J6" s="2312">
        <f>I5&amp;".1"</f>
      </c>
      <c r="K6" s="1419"/>
      <c r="L6" s="1420" t="s">
        <v>538</v>
      </c>
      <c r="P6" s="2313"/>
      <c r="Q6" s="2313">
        <v>1</v>
      </c>
      <c r="R6" s="413"/>
      <c r="S6" s="1513">
        <f>$J6</f>
      </c>
      <c r="T6" s="342" t="s">
        <v>539</v>
      </c>
      <c r="U6" s="356"/>
      <c r="V6" s="2301"/>
      <c r="W6" s="2302"/>
      <c r="X6" s="2302"/>
      <c r="Y6" s="2302"/>
      <c r="Z6" s="2302"/>
      <c r="AA6" s="2302"/>
      <c r="AB6" s="2303"/>
      <c r="AC6" s="2301"/>
      <c r="AD6" s="2302"/>
      <c r="AE6" s="2302"/>
      <c r="AF6" s="2302"/>
      <c r="AG6" s="2302"/>
      <c r="AH6" s="2302"/>
      <c r="AI6" s="2302"/>
      <c r="AJ6" s="2303"/>
      <c r="AK6" s="1363" t="s">
        <v>614</v>
      </c>
      <c r="AM6" s="556"/>
      <c r="AN6" s="556" t="str">
        <f>IF(T6="","",T6)</f>
        <v>Группа потребителей</v>
      </c>
      <c r="AO6" s="556"/>
      <c r="AP6" s="556"/>
      <c r="AQ6" s="1211">
        <v>0</v>
      </c>
    </row>
    <row customHeight="1" ht="23.25" hidden="1">
      <c r="A7" s="1419"/>
      <c r="B7" s="1419"/>
      <c r="C7" s="1419"/>
      <c r="D7" s="1419"/>
      <c r="E7" s="2315"/>
      <c r="F7" s="2315"/>
      <c r="G7" s="2315"/>
      <c r="H7" s="2315"/>
      <c r="I7" s="2342"/>
      <c r="J7" s="2342"/>
      <c r="K7" s="2312">
        <f>J6&amp;".1"</f>
      </c>
      <c r="L7" s="1420"/>
      <c r="P7" s="2313"/>
      <c r="Q7" s="2313"/>
      <c r="R7" s="413">
        <v>1</v>
      </c>
      <c r="S7" s="1513">
        <f>$K7</f>
      </c>
      <c r="T7" s="1493"/>
      <c r="U7" s="356"/>
      <c r="V7" s="807"/>
      <c r="W7" s="807"/>
      <c r="X7" s="1313"/>
      <c r="Y7" s="2321"/>
      <c r="Z7" s="2163" t="s">
        <v>65</v>
      </c>
      <c r="AA7" s="2321"/>
      <c r="AB7" s="2163" t="s">
        <v>65</v>
      </c>
      <c r="AC7" s="807"/>
      <c r="AD7" s="807"/>
      <c r="AE7" s="1313"/>
      <c r="AF7" s="2321"/>
      <c r="AG7" s="2163" t="s">
        <v>65</v>
      </c>
      <c r="AH7" s="2343"/>
      <c r="AI7" s="2163" t="s">
        <v>65</v>
      </c>
      <c r="AJ7" s="1494"/>
      <c r="AK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67">
        <f>STRCHECKDATE(V8:AJ8)</f>
      </c>
      <c r="AM7" s="556"/>
      <c r="AN7" s="556" t="str">
        <f>IF(T7="","",T7)</f>
        <v/>
      </c>
      <c r="AO7" s="556"/>
      <c r="AP7" s="556"/>
      <c r="AQ7" s="1211">
        <v>0</v>
      </c>
    </row>
    <row customHeight="1" ht="14.25" hidden="1">
      <c r="A8" s="1419"/>
      <c r="B8" s="1419"/>
      <c r="C8" s="1419"/>
      <c r="D8" s="1419"/>
      <c r="E8" s="2315"/>
      <c r="F8" s="2315"/>
      <c r="G8" s="2315"/>
      <c r="H8" s="2315"/>
      <c r="I8" s="2342"/>
      <c r="J8" s="2342"/>
      <c r="K8" s="2312"/>
      <c r="L8" s="1420"/>
      <c r="P8" s="2313"/>
      <c r="Q8" s="2313"/>
      <c r="R8" s="413"/>
      <c r="S8" s="1512"/>
      <c r="T8" s="356"/>
      <c r="U8" s="356"/>
      <c r="V8" s="381"/>
      <c r="W8" s="381"/>
      <c r="X8" s="384" t="str">
        <f>Y7&amp;"-"&amp;AA7</f>
        <v>-</v>
      </c>
      <c r="Y8" s="2322"/>
      <c r="Z8" s="2163"/>
      <c r="AA8" s="2322"/>
      <c r="AB8" s="2163"/>
      <c r="AC8" s="381"/>
      <c r="AD8" s="381"/>
      <c r="AE8" s="384" t="str">
        <f>AF7&amp;"-"&amp;AH7</f>
        <v>-</v>
      </c>
      <c r="AF8" s="2322"/>
      <c r="AG8" s="2163"/>
      <c r="AH8" s="2344"/>
      <c r="AI8" s="2163"/>
      <c r="AJ8" s="1495"/>
      <c r="AK8" s="2405"/>
      <c r="AM8" s="556"/>
      <c r="AN8" s="556" t="str">
        <f>IF(T8="","",T8)</f>
        <v/>
      </c>
      <c r="AO8" s="556"/>
      <c r="AP8" s="556"/>
      <c r="AQ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423"/>
      <c r="AK9" s="1314" t="s">
        <v>616</v>
      </c>
      <c r="AM9" s="556"/>
      <c r="AN9" s="556" t="str">
        <f>IF(T9="","",T9)</f>
        <v>Добавить значение признака дифференциации</v>
      </c>
      <c r="AO9" s="556"/>
      <c r="AP9" s="556"/>
      <c r="AQ9" s="1211">
        <v>0</v>
      </c>
    </row>
    <row customHeight="1" ht="21" hidden="1">
      <c r="A10" s="1419"/>
      <c r="B10" s="1419"/>
      <c r="C10" s="1419"/>
      <c r="D10" s="1419"/>
      <c r="E10" s="2315"/>
      <c r="F10" s="2315"/>
      <c r="G10" s="2315"/>
      <c r="H10" s="2315"/>
      <c r="I10" s="2312"/>
      <c r="J10" s="1419"/>
      <c r="K10" s="1419"/>
      <c r="L10" s="1420"/>
      <c r="P10" s="2313"/>
      <c r="Q10" s="1506"/>
      <c r="R10" s="412"/>
      <c r="S10" s="1334"/>
      <c r="T10" s="421" t="s">
        <v>544</v>
      </c>
      <c r="U10" s="423"/>
      <c r="V10" s="423"/>
      <c r="W10" s="423"/>
      <c r="X10" s="423"/>
      <c r="Y10" s="423"/>
      <c r="Z10" s="423"/>
      <c r="AA10" s="423"/>
      <c r="AB10" s="422"/>
      <c r="AC10" s="423"/>
      <c r="AD10" s="423"/>
      <c r="AE10" s="423"/>
      <c r="AF10" s="423"/>
      <c r="AG10" s="423"/>
      <c r="AH10" s="423"/>
      <c r="AI10" s="422"/>
      <c r="AJ10" s="423"/>
      <c r="AK10" s="1496"/>
      <c r="AM10" s="556"/>
      <c r="AN10" s="556" t="str">
        <f>IF(T10="","",T10)</f>
        <v>Добавить группу потребителей</v>
      </c>
      <c r="AO10" s="556"/>
      <c r="AP10" s="556"/>
      <c r="AQ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23"/>
      <c r="AK11" s="359"/>
      <c r="AM11" s="556"/>
      <c r="AN11" s="556" t="str">
        <f>IF(T11="","",T11)</f>
        <v>Добавить наименование признака дифференциации</v>
      </c>
      <c r="AO11" s="556"/>
      <c r="AP11" s="556"/>
      <c r="AQ11" s="1211">
        <v>0</v>
      </c>
    </row>
    <row s="2851" customFormat="1" customHeight="1" ht="14.25" hidden="1">
      <c r="A12" s="1399"/>
      <c r="B12" s="1399"/>
      <c r="C12" s="1370"/>
      <c r="D12" s="1370"/>
      <c r="E12" s="2315"/>
      <c r="F12" s="2314"/>
      <c r="G12" s="1370"/>
      <c r="H12" s="1370"/>
      <c r="I12" s="1370"/>
      <c r="J12" s="1370"/>
      <c r="K12" s="1370"/>
      <c r="L12" s="1514"/>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M12" s="845"/>
      <c r="AN12" s="845" t="str">
        <f>IF(T12="","",T12)</f>
        <v>Добавить централизованную систему для дифференциации</v>
      </c>
      <c r="AO12" s="845"/>
      <c r="AP12" s="845"/>
      <c r="AQ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M13" s="556"/>
      <c r="AN13" s="556" t="str">
        <f>IF(T13="","",T13)</f>
        <v>Добавить территорию для дифференциации</v>
      </c>
      <c r="AO13" s="556"/>
      <c r="AP13" s="556"/>
      <c r="AQ13" s="567">
        <v>0</v>
      </c>
    </row>
    <row customHeight="1" ht="14.25" hidden="1">
      <c r="AB14" s="383"/>
      <c r="AI14" s="383"/>
      <c r="AQ14" s="1211">
        <v>0</v>
      </c>
    </row>
    <row customHeight="1" ht="14.25" hidden="1">
      <c r="AC15" s="1416"/>
      <c r="AD15" s="1416"/>
      <c r="AE15" s="1417"/>
      <c r="AF15" s="2323"/>
      <c r="AG15" s="2324" t="s">
        <v>65</v>
      </c>
      <c r="AH15" s="2323"/>
      <c r="AI15" s="2324" t="s">
        <v>65</v>
      </c>
      <c r="AQ15" s="1211">
        <v>0</v>
      </c>
    </row>
    <row customHeight="1" ht="14.25" hidden="1">
      <c r="AC16" s="1416"/>
      <c r="AD16" s="1416"/>
      <c r="AE16" s="384" t="str">
        <f>AF15&amp;"-"&amp;AH15</f>
        <v>-</v>
      </c>
      <c r="AF16" s="2324"/>
      <c r="AG16" s="2324"/>
      <c r="AH16" s="2324"/>
      <c r="AI16" s="2324"/>
      <c r="AQ16" s="1211">
        <v>0</v>
      </c>
    </row>
    <row customHeight="1" ht="14.25" hidden="1">
      <c r="AI17" s="383"/>
      <c r="AQ17" s="1211">
        <v>0</v>
      </c>
    </row>
    <row s="2850" customFormat="1" customHeight="1" ht="22.5" hidden="1">
      <c r="L18" s="1503"/>
      <c r="M18" s="1418"/>
      <c r="N18" s="1418"/>
      <c r="O18" s="1423" t="s">
        <v>547</v>
      </c>
      <c r="P18" s="1418"/>
      <c r="Q18" s="1427"/>
      <c r="R18" s="1427"/>
      <c r="S18" s="785"/>
      <c r="Y18" s="1423"/>
      <c r="AA18" s="1423"/>
      <c r="AB18" s="1422"/>
      <c r="AF18" s="1423"/>
      <c r="AH18" s="1423"/>
      <c r="AI18" s="1422"/>
      <c r="AL18" s="567"/>
      <c r="AM18" s="567"/>
      <c r="AN18" s="567"/>
      <c r="AO18" s="567"/>
      <c r="AP18" s="567"/>
      <c r="AQ18" s="1216">
        <v>0</v>
      </c>
    </row>
    <row s="2850" customFormat="1" customHeight="1" ht="14.25" hidden="1">
      <c r="L19" s="1503"/>
      <c r="M19" s="1418"/>
      <c r="N19" s="1418"/>
      <c r="O19" s="1418"/>
      <c r="P19" s="1418"/>
      <c r="Q19" s="1427"/>
      <c r="R19" s="1427"/>
      <c r="S19" s="785"/>
      <c r="AB19" s="1422"/>
      <c r="AI19" s="1422"/>
      <c r="AL19" s="567"/>
      <c r="AM19" s="567"/>
      <c r="AN19" s="567"/>
      <c r="AO19" s="567"/>
      <c r="AP19" s="567"/>
      <c r="AQ19" s="1216">
        <v>0</v>
      </c>
    </row>
    <row s="2850" customFormat="1" customHeight="1" ht="12" hidden="1">
      <c r="L20" s="1503"/>
      <c r="M20" s="1418"/>
      <c r="N20" s="1418"/>
      <c r="O20" s="1420" t="s">
        <v>548</v>
      </c>
      <c r="P20" s="1418"/>
      <c r="Q20" s="1498"/>
      <c r="R20" s="1498"/>
      <c r="S20" s="785"/>
      <c r="T20" s="1216" t="s">
        <v>549</v>
      </c>
      <c r="Z20" s="242" t="s">
        <v>550</v>
      </c>
      <c r="AB20" s="242" t="s">
        <v>551</v>
      </c>
      <c r="AC20" s="1216" t="s">
        <v>549</v>
      </c>
      <c r="AG20" s="242" t="s">
        <v>552</v>
      </c>
      <c r="AI20" s="242" t="s">
        <v>551</v>
      </c>
      <c r="AQ20" s="1216">
        <v>0</v>
      </c>
    </row>
    <row customHeight="1" ht="14.25" hidden="1">
      <c r="O21" s="1420"/>
      <c r="AQ21" s="1211">
        <v>0</v>
      </c>
    </row>
    <row customHeight="1" ht="14.25" hidden="1">
      <c r="O22" s="1420"/>
      <c r="AQ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Q23" s="1211">
        <v>14</v>
      </c>
    </row>
    <row customHeight="1" ht="14.699999999999998">
      <c r="Q24" s="432"/>
      <c r="R24" s="432"/>
      <c r="S24" s="230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Q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565"/>
      <c r="AQ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382"/>
      <c r="AK27" s="336"/>
      <c r="AL27" s="424"/>
      <c r="AM27" s="424"/>
      <c r="AN27" s="424"/>
      <c r="AO27" s="424"/>
      <c r="AP27" s="424"/>
      <c r="AQ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382"/>
      <c r="AK28" s="336"/>
      <c r="AL28" s="424"/>
      <c r="AM28" s="424"/>
      <c r="AN28" s="424"/>
      <c r="AO28" s="424"/>
      <c r="AP28" s="424"/>
      <c r="AQ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382"/>
      <c r="AK29" s="336"/>
      <c r="AL29" s="424"/>
      <c r="AM29" s="424"/>
      <c r="AN29" s="424"/>
      <c r="AO29" s="424"/>
      <c r="AP29" s="424"/>
      <c r="AQ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382"/>
      <c r="AK30" s="336"/>
      <c r="AL30" s="424"/>
      <c r="AM30" s="424"/>
      <c r="AN30" s="424"/>
      <c r="AO30" s="424"/>
      <c r="AP30" s="424"/>
      <c r="AQ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565"/>
      <c r="AQ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382"/>
      <c r="AK32" s="336"/>
      <c r="AL32" s="424"/>
      <c r="AM32" s="424"/>
      <c r="AN32" s="424"/>
      <c r="AO32" s="424"/>
      <c r="AP32" s="424"/>
      <c r="AQ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382"/>
      <c r="AK33" s="336"/>
      <c r="AL33" s="424"/>
      <c r="AM33" s="424"/>
      <c r="AN33" s="424"/>
      <c r="AO33" s="424"/>
      <c r="AP33" s="424"/>
      <c r="AQ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10"/>
      <c r="V34" s="382"/>
      <c r="W34" s="382"/>
      <c r="X34" s="382"/>
      <c r="Y34" s="382"/>
      <c r="Z34" s="382"/>
      <c r="AA34" s="382"/>
      <c r="AB34" s="334" t="s">
        <v>557</v>
      </c>
      <c r="AC34" s="382"/>
      <c r="AD34" s="382"/>
      <c r="AE34" s="382"/>
      <c r="AF34" s="382"/>
      <c r="AG34" s="382"/>
      <c r="AH34" s="382"/>
      <c r="AI34" s="334" t="s">
        <v>557</v>
      </c>
      <c r="AL34" s="424"/>
      <c r="AM34" s="424"/>
      <c r="AN34" s="424"/>
      <c r="AO34" s="424"/>
      <c r="AP34" s="424"/>
      <c r="AQ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Q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t="s">
        <v>433</v>
      </c>
      <c r="AQ36" s="1211">
        <v>14</v>
      </c>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2336" t="s">
        <v>562</v>
      </c>
      <c r="AK37" s="2183"/>
      <c r="AQ37" s="1211">
        <v>14</v>
      </c>
    </row>
    <row customHeight="1" ht="35.699999999999996">
      <c r="Q38" s="432"/>
      <c r="R38" s="432"/>
      <c r="S38" s="2329"/>
      <c r="T38" s="2265"/>
      <c r="U38" s="1087"/>
      <c r="V38" s="1508" t="s">
        <v>618</v>
      </c>
      <c r="W38" s="2318" t="s">
        <v>565</v>
      </c>
      <c r="X38" s="2319"/>
      <c r="Y38" s="2318" t="s">
        <v>566</v>
      </c>
      <c r="Z38" s="2325"/>
      <c r="AA38" s="2319"/>
      <c r="AB38" s="2334"/>
      <c r="AC38" s="1508" t="s">
        <v>618</v>
      </c>
      <c r="AD38" s="2318" t="s">
        <v>565</v>
      </c>
      <c r="AE38" s="2319"/>
      <c r="AF38" s="2318" t="s">
        <v>566</v>
      </c>
      <c r="AG38" s="2325"/>
      <c r="AH38" s="2319"/>
      <c r="AI38" s="2334"/>
      <c r="AJ38" s="2337"/>
      <c r="AK38" s="2183"/>
      <c r="AQ38" s="1211">
        <v>34</v>
      </c>
    </row>
    <row customHeight="1" ht="35.699999999999996">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508" t="s">
        <v>621</v>
      </c>
      <c r="W39" s="1278" t="s">
        <v>622</v>
      </c>
      <c r="X39" s="1278" t="s">
        <v>623</v>
      </c>
      <c r="Y39" s="1511" t="s">
        <v>576</v>
      </c>
      <c r="Z39" s="2326" t="s">
        <v>577</v>
      </c>
      <c r="AA39" s="2327"/>
      <c r="AB39" s="2335"/>
      <c r="AC39" s="1508" t="s">
        <v>621</v>
      </c>
      <c r="AD39" s="1278" t="s">
        <v>622</v>
      </c>
      <c r="AE39" s="1278" t="s">
        <v>623</v>
      </c>
      <c r="AF39" s="1511" t="s">
        <v>576</v>
      </c>
      <c r="AG39" s="2326" t="s">
        <v>577</v>
      </c>
      <c r="AH39" s="2327"/>
      <c r="AI39" s="2335"/>
      <c r="AJ39" s="2338"/>
      <c r="AK39" s="2183"/>
      <c r="AQ39" s="1211">
        <v>34</v>
      </c>
    </row>
    <row s="3442" customFormat="1" customHeight="1" ht="0">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507">
        <f>OFFSET(V40,0,-1)+1</f>
        <v>3</v>
      </c>
      <c r="W40" s="1507">
        <f>OFFSET(W40,0,-1)+1</f>
        <v>4</v>
      </c>
      <c r="X40" s="1507">
        <f>OFFSET(X40,0,-1)+1</f>
        <v>5</v>
      </c>
      <c r="Y40" s="1507">
        <f>OFFSET(Y40,0,-1)+1</f>
        <v>6</v>
      </c>
      <c r="Z40" s="2328">
        <f>OFFSET(Z40,0,-1)+1</f>
        <v>7</v>
      </c>
      <c r="AA40" s="2328"/>
      <c r="AB40" s="1507">
        <f>OFFSET(AB40,0,-2)+1</f>
        <v>8</v>
      </c>
      <c r="AC40" s="1507">
        <f>OFFSET(AC40,0,-1)+1</f>
        <v>9</v>
      </c>
      <c r="AD40" s="1507">
        <f>OFFSET(AD40,0,-1)+1</f>
        <v>10</v>
      </c>
      <c r="AE40" s="1507">
        <f>OFFSET(AE40,0,-1)+1</f>
        <v>11</v>
      </c>
      <c r="AF40" s="1507">
        <f>OFFSET(AF40,0,-1)+1</f>
        <v>12</v>
      </c>
      <c r="AG40" s="2328">
        <f>OFFSET(AG40,0,-1)+1</f>
        <v>13</v>
      </c>
      <c r="AH40" s="2328"/>
      <c r="AI40" s="1507">
        <f>OFFSET(AI40,0,-2)+1</f>
        <v>14</v>
      </c>
      <c r="AJ40" s="1301">
        <f>OFFSET(AJ40,0,-1)</f>
        <v>14</v>
      </c>
      <c r="AK40" s="1507">
        <f>OFFSET(AK40,0,-1)+1</f>
        <v>15</v>
      </c>
      <c r="AL40" s="567"/>
      <c r="AM40" s="567"/>
      <c r="AN40" s="567"/>
      <c r="AO40" s="567"/>
      <c r="AP40" s="567"/>
      <c r="AQ40" s="552">
        <v>0</v>
      </c>
    </row>
    <row customHeight="1" ht="24">
      <c r="A41" s="1419" t="s">
        <v>368</v>
      </c>
      <c r="B41" s="1419"/>
      <c r="C41" s="1419"/>
      <c r="D41" s="1419"/>
      <c r="E41" s="2314">
        <v>1</v>
      </c>
      <c r="F41" s="1419"/>
      <c r="G41" s="1419"/>
      <c r="H41" s="1419"/>
      <c r="I41" s="1419"/>
      <c r="J41" s="1419"/>
      <c r="K41" s="1419"/>
      <c r="L41" s="1420"/>
      <c r="M41" s="1421"/>
      <c r="N41" s="1421"/>
      <c r="O41" s="1421"/>
      <c r="P41" s="417"/>
      <c r="Q41" s="416"/>
      <c r="R41" s="411"/>
      <c r="S41" s="1513">
        <f>INDEX(PT_DIFFERENTIATION_NUM_NTAR,MATCH(A41,PT_DIFFERENTIATION_NTAR_ID,0))</f>
        <v>0</v>
      </c>
      <c r="T41" s="354" t="s">
        <v>202</v>
      </c>
      <c r="U41" s="356"/>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56"/>
      <c r="AN41" s="556" t="str">
        <f>IF(T41="","",T41)</f>
        <v>Наименование тарифа</v>
      </c>
      <c r="AO41" s="556"/>
      <c r="AP41" s="556"/>
      <c r="AQ41" s="1211">
        <v>23</v>
      </c>
    </row>
    <row customHeight="1" ht="24">
      <c r="A42" s="1419" t="s">
        <v>368</v>
      </c>
      <c r="B42" s="1419" t="s">
        <v>369</v>
      </c>
      <c r="C42" s="1419"/>
      <c r="D42" s="1419"/>
      <c r="E42" s="2315"/>
      <c r="F42" s="2314">
        <v>1</v>
      </c>
      <c r="G42" s="1419"/>
      <c r="H42" s="1419"/>
      <c r="I42" s="1419"/>
      <c r="J42" s="1419"/>
      <c r="K42" s="1419"/>
      <c r="L42" s="1420"/>
      <c r="M42" s="1421"/>
      <c r="N42" s="1421"/>
      <c r="O42" s="1421"/>
      <c r="P42" s="1509"/>
      <c r="Q42" s="408"/>
      <c r="R42" s="409"/>
      <c r="S42" s="1513" t="str">
        <f>INDEX(PT_DIFFERENTIATION_NUM_TER,MATCH(B42,PT_DIFFERENTIATION_TER_ID,0))</f>
        <v>.</v>
      </c>
      <c r="T42" s="364" t="s">
        <v>529</v>
      </c>
      <c r="U42" s="356"/>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314" t="s">
        <v>530</v>
      </c>
      <c r="AM42" s="556"/>
      <c r="AN42" s="556" t="str">
        <f>IF(T42="","",T42)</f>
        <v>Территория действия тарифа</v>
      </c>
      <c r="AO42" s="556"/>
      <c r="AP42" s="556"/>
      <c r="AQ42" s="1211">
        <v>23</v>
      </c>
    </row>
    <row customHeight="1" ht="24">
      <c r="A43" s="1419" t="s">
        <v>368</v>
      </c>
      <c r="B43" s="1419" t="s">
        <v>369</v>
      </c>
      <c r="C43" s="1419" t="s">
        <v>370</v>
      </c>
      <c r="D43" s="1419"/>
      <c r="E43" s="2315"/>
      <c r="F43" s="2315"/>
      <c r="G43" s="2314">
        <v>1</v>
      </c>
      <c r="H43" s="1419"/>
      <c r="I43" s="1419"/>
      <c r="J43" s="1419"/>
      <c r="K43" s="1419"/>
      <c r="L43" s="1420"/>
      <c r="M43" s="1421"/>
      <c r="N43" s="1421"/>
      <c r="O43" s="1421"/>
      <c r="P43" s="410"/>
      <c r="Q43" s="408"/>
      <c r="R43" s="409"/>
      <c r="S43" s="1513" t="str">
        <f>INDEX(PT_DIFFERENTIATION_NUM_CS,MATCH(C43,PT_DIFFERENTIATION_CS_ID,0))</f>
        <v>..</v>
      </c>
      <c r="T43" s="365" t="s">
        <v>610</v>
      </c>
      <c r="U43" s="356"/>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314" t="s">
        <v>611</v>
      </c>
      <c r="AM43" s="556"/>
      <c r="AN43" s="556" t="str">
        <f>IF(T43="","",T43)</f>
        <v>Наименование централизованной системы холодного водоснабжения</v>
      </c>
      <c r="AO43" s="556"/>
      <c r="AP43" s="556"/>
      <c r="AQ43" s="1211">
        <v>23</v>
      </c>
    </row>
    <row customHeight="1" ht="24">
      <c r="A44" s="1419" t="s">
        <v>368</v>
      </c>
      <c r="B44" s="1419" t="s">
        <v>369</v>
      </c>
      <c r="C44" s="1419" t="s">
        <v>370</v>
      </c>
      <c r="D44" s="1419" t="s">
        <v>630</v>
      </c>
      <c r="E44" s="2315"/>
      <c r="F44" s="2315"/>
      <c r="G44" s="2315"/>
      <c r="H44" s="2315"/>
      <c r="I44" s="2312" t="str">
        <f>S43&amp;".1"</f>
        <v>...1</v>
      </c>
      <c r="J44" s="1419"/>
      <c r="K44" s="1419"/>
      <c r="L44" s="1420"/>
      <c r="P44" s="2313">
        <v>1</v>
      </c>
      <c r="Q44" s="1506"/>
      <c r="R44" s="412"/>
      <c r="S44" s="1513" t="str">
        <f>$I44</f>
        <v>...1</v>
      </c>
      <c r="T44" s="341" t="s">
        <v>612</v>
      </c>
      <c r="U44" s="356"/>
      <c r="V44" s="2406"/>
      <c r="W44" s="2407"/>
      <c r="X44" s="2407"/>
      <c r="Y44" s="2407"/>
      <c r="Z44" s="2407"/>
      <c r="AA44" s="2407"/>
      <c r="AB44" s="2408"/>
      <c r="AC44" s="2409"/>
      <c r="AD44" s="2410"/>
      <c r="AE44" s="2410"/>
      <c r="AF44" s="2410"/>
      <c r="AG44" s="2410"/>
      <c r="AH44" s="2410"/>
      <c r="AI44" s="2410"/>
      <c r="AJ44" s="2411"/>
      <c r="AK44" s="1314" t="s">
        <v>613</v>
      </c>
      <c r="AM44" s="556"/>
      <c r="AN44" s="556" t="str">
        <f>IF(T44="","",T44)</f>
        <v>Наименование признака дифференциации</v>
      </c>
      <c r="AO44" s="556"/>
      <c r="AP44" s="556"/>
      <c r="AQ44" s="1211">
        <v>23</v>
      </c>
    </row>
    <row customHeight="1" ht="24">
      <c r="A45" s="1419" t="s">
        <v>368</v>
      </c>
      <c r="B45" s="1419" t="s">
        <v>369</v>
      </c>
      <c r="C45" s="1419" t="s">
        <v>370</v>
      </c>
      <c r="D45" s="1419" t="s">
        <v>630</v>
      </c>
      <c r="E45" s="2315"/>
      <c r="F45" s="2315"/>
      <c r="G45" s="2315"/>
      <c r="H45" s="2315"/>
      <c r="I45" s="2342"/>
      <c r="J45" s="2312" t="str">
        <f>I44&amp;".1"</f>
        <v>...1.1</v>
      </c>
      <c r="K45" s="1419"/>
      <c r="L45" s="1420" t="s">
        <v>538</v>
      </c>
      <c r="P45" s="2313"/>
      <c r="Q45" s="2313">
        <v>1</v>
      </c>
      <c r="R45" s="413"/>
      <c r="S45" s="1513" t="str">
        <f>$J45</f>
        <v>...1.1</v>
      </c>
      <c r="T45" s="342" t="s">
        <v>539</v>
      </c>
      <c r="U45" s="356"/>
      <c r="V45" s="2301"/>
      <c r="W45" s="2302"/>
      <c r="X45" s="2302"/>
      <c r="Y45" s="2302"/>
      <c r="Z45" s="2302"/>
      <c r="AA45" s="2302"/>
      <c r="AB45" s="2303"/>
      <c r="AC45" s="2301"/>
      <c r="AD45" s="2302"/>
      <c r="AE45" s="2302"/>
      <c r="AF45" s="2302"/>
      <c r="AG45" s="2302"/>
      <c r="AH45" s="2302"/>
      <c r="AI45" s="2302"/>
      <c r="AJ45" s="2303"/>
      <c r="AK45" s="1363" t="s">
        <v>614</v>
      </c>
      <c r="AM45" s="556"/>
      <c r="AN45" s="556" t="str">
        <f>IF(T45="","",T45)</f>
        <v>Группа потребителей</v>
      </c>
      <c r="AO45" s="556"/>
      <c r="AP45" s="556"/>
      <c r="AQ45" s="1211">
        <v>23</v>
      </c>
    </row>
    <row customHeight="1" ht="24">
      <c r="A46" s="1419" t="s">
        <v>368</v>
      </c>
      <c r="B46" s="1419" t="s">
        <v>369</v>
      </c>
      <c r="C46" s="1419" t="s">
        <v>370</v>
      </c>
      <c r="D46" s="1419" t="s">
        <v>630</v>
      </c>
      <c r="E46" s="2315"/>
      <c r="F46" s="2315"/>
      <c r="G46" s="2315"/>
      <c r="H46" s="2315"/>
      <c r="I46" s="2342"/>
      <c r="J46" s="2342"/>
      <c r="K46" s="2312" t="str">
        <f>J45&amp;".1"</f>
        <v>...1.1.1</v>
      </c>
      <c r="L46" s="1420"/>
      <c r="P46" s="2313"/>
      <c r="Q46" s="2313"/>
      <c r="R46" s="413">
        <v>1</v>
      </c>
      <c r="S46" s="1513" t="str">
        <f>$K46</f>
        <v>...1.1.1</v>
      </c>
      <c r="T46" s="1493"/>
      <c r="U46" s="356"/>
      <c r="V46" s="807"/>
      <c r="W46" s="807"/>
      <c r="X46" s="1313"/>
      <c r="Y46" s="2321"/>
      <c r="Z46" s="2163" t="s">
        <v>65</v>
      </c>
      <c r="AA46" s="2321"/>
      <c r="AB46" s="2163" t="s">
        <v>65</v>
      </c>
      <c r="AC46" s="807"/>
      <c r="AD46" s="807"/>
      <c r="AE46" s="1313"/>
      <c r="AF46" s="2321"/>
      <c r="AG46" s="2163" t="s">
        <v>65</v>
      </c>
      <c r="AH46" s="2343"/>
      <c r="AI46" s="2163" t="s">
        <v>65</v>
      </c>
      <c r="AJ46" s="1494"/>
      <c r="AK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67">
        <f>STRCHECKDATE(V47:AJ47)</f>
      </c>
      <c r="AM46" s="556"/>
      <c r="AN46" s="556" t="str">
        <f>IF(T46="","",T46)</f>
        <v/>
      </c>
      <c r="AO46" s="556"/>
      <c r="AP46" s="556"/>
      <c r="AQ46" s="1211">
        <v>23</v>
      </c>
    </row>
    <row customHeight="1" ht="0">
      <c r="A47" s="1419" t="s">
        <v>368</v>
      </c>
      <c r="B47" s="1419" t="s">
        <v>369</v>
      </c>
      <c r="C47" s="1419" t="s">
        <v>370</v>
      </c>
      <c r="D47" s="1419" t="s">
        <v>630</v>
      </c>
      <c r="E47" s="2315"/>
      <c r="F47" s="2315"/>
      <c r="G47" s="2315"/>
      <c r="H47" s="2315"/>
      <c r="I47" s="2342"/>
      <c r="J47" s="2342"/>
      <c r="K47" s="2312"/>
      <c r="L47" s="1420"/>
      <c r="P47" s="2313"/>
      <c r="Q47" s="2313"/>
      <c r="R47" s="413"/>
      <c r="S47" s="1512"/>
      <c r="T47" s="356"/>
      <c r="U47" s="356"/>
      <c r="V47" s="381"/>
      <c r="W47" s="381"/>
      <c r="X47" s="384" t="str">
        <f>Y46&amp;"-"&amp;AA46</f>
        <v>-</v>
      </c>
      <c r="Y47" s="2322"/>
      <c r="Z47" s="2163"/>
      <c r="AA47" s="2322"/>
      <c r="AB47" s="2163"/>
      <c r="AC47" s="381"/>
      <c r="AD47" s="381"/>
      <c r="AE47" s="384" t="str">
        <f>AF46&amp;"-"&amp;AH46</f>
        <v>-</v>
      </c>
      <c r="AF47" s="2322"/>
      <c r="AG47" s="2163"/>
      <c r="AH47" s="2344"/>
      <c r="AI47" s="2163"/>
      <c r="AJ47" s="1495"/>
      <c r="AK47" s="2405"/>
      <c r="AM47" s="556"/>
      <c r="AN47" s="556" t="str">
        <f>IF(T47="","",T47)</f>
        <v/>
      </c>
      <c r="AO47" s="556"/>
      <c r="AP47" s="556"/>
      <c r="AQ47" s="1211">
        <v>0</v>
      </c>
    </row>
    <row customHeight="1" ht="21">
      <c r="A48" s="1419" t="s">
        <v>368</v>
      </c>
      <c r="B48" s="1419" t="s">
        <v>369</v>
      </c>
      <c r="C48" s="1419" t="s">
        <v>370</v>
      </c>
      <c r="D48" s="1419" t="s">
        <v>630</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23"/>
      <c r="AK48" s="1314" t="s">
        <v>616</v>
      </c>
      <c r="AM48" s="556"/>
      <c r="AN48" s="556" t="str">
        <f>IF(T48="","",T48)</f>
        <v>Добавить значение признака дифференциации</v>
      </c>
      <c r="AO48" s="556"/>
      <c r="AP48" s="556"/>
      <c r="AQ48" s="1211">
        <v>20</v>
      </c>
    </row>
    <row customHeight="1" ht="22.049999999999997">
      <c r="A49" s="1419" t="s">
        <v>368</v>
      </c>
      <c r="B49" s="1419" t="s">
        <v>369</v>
      </c>
      <c r="C49" s="1419" t="s">
        <v>370</v>
      </c>
      <c r="D49" s="1419" t="s">
        <v>630</v>
      </c>
      <c r="E49" s="2315"/>
      <c r="F49" s="2315"/>
      <c r="G49" s="2315"/>
      <c r="H49" s="2315"/>
      <c r="I49" s="2312"/>
      <c r="J49" s="1419"/>
      <c r="K49" s="1419"/>
      <c r="L49" s="1420"/>
      <c r="P49" s="2313"/>
      <c r="Q49" s="1506"/>
      <c r="R49" s="412"/>
      <c r="S49" s="1334"/>
      <c r="T49" s="421" t="s">
        <v>544</v>
      </c>
      <c r="U49" s="423"/>
      <c r="V49" s="423"/>
      <c r="W49" s="423"/>
      <c r="X49" s="423"/>
      <c r="Y49" s="423"/>
      <c r="Z49" s="423"/>
      <c r="AA49" s="423"/>
      <c r="AB49" s="422"/>
      <c r="AC49" s="423"/>
      <c r="AD49" s="423"/>
      <c r="AE49" s="423"/>
      <c r="AF49" s="423"/>
      <c r="AG49" s="423"/>
      <c r="AH49" s="423"/>
      <c r="AI49" s="422"/>
      <c r="AJ49" s="423"/>
      <c r="AK49" s="1496"/>
      <c r="AM49" s="556"/>
      <c r="AN49" s="556" t="str">
        <f>IF(T49="","",T49)</f>
        <v>Добавить группу потребителей</v>
      </c>
      <c r="AO49" s="556"/>
      <c r="AP49" s="556"/>
      <c r="AQ49" s="1211">
        <v>21</v>
      </c>
    </row>
    <row customHeight="1" ht="22.049999999999997">
      <c r="A50" s="1419" t="s">
        <v>368</v>
      </c>
      <c r="B50" s="1419" t="s">
        <v>369</v>
      </c>
      <c r="C50" s="1419" t="s">
        <v>370</v>
      </c>
      <c r="D50" s="1419" t="s">
        <v>630</v>
      </c>
      <c r="E50" s="2315"/>
      <c r="F50" s="2315"/>
      <c r="G50" s="2315"/>
      <c r="H50" s="2314"/>
      <c r="I50" s="1419"/>
      <c r="J50" s="1419"/>
      <c r="K50" s="1419"/>
      <c r="L50" s="1420"/>
      <c r="M50" s="1421"/>
      <c r="N50" s="1421"/>
      <c r="O50" s="593"/>
      <c r="P50" s="416"/>
      <c r="Q50" s="431"/>
      <c r="R50" s="411"/>
      <c r="S50" s="1334"/>
      <c r="T50" s="428" t="s">
        <v>617</v>
      </c>
      <c r="U50" s="423"/>
      <c r="V50" s="423"/>
      <c r="W50" s="423"/>
      <c r="X50" s="423"/>
      <c r="Y50" s="423"/>
      <c r="Z50" s="423"/>
      <c r="AA50" s="423"/>
      <c r="AB50" s="422"/>
      <c r="AC50" s="423"/>
      <c r="AD50" s="423"/>
      <c r="AE50" s="423"/>
      <c r="AF50" s="423"/>
      <c r="AG50" s="423"/>
      <c r="AH50" s="423"/>
      <c r="AI50" s="422"/>
      <c r="AJ50" s="423"/>
      <c r="AK50" s="359"/>
      <c r="AM50" s="556"/>
      <c r="AN50" s="556" t="str">
        <f>IF(T50="","",T50)</f>
        <v>Добавить наименование признака дифференциации</v>
      </c>
      <c r="AO50" s="556"/>
      <c r="AP50" s="556"/>
      <c r="AQ50" s="1211">
        <v>21</v>
      </c>
    </row>
    <row s="2851" customFormat="1" customHeight="1" ht="0">
      <c r="A51" s="1399" t="s">
        <v>368</v>
      </c>
      <c r="B51" s="1399" t="s">
        <v>369</v>
      </c>
      <c r="C51" s="1370"/>
      <c r="D51" s="1370"/>
      <c r="E51" s="2315"/>
      <c r="F51" s="2314"/>
      <c r="G51" s="1370"/>
      <c r="H51" s="1370"/>
      <c r="I51" s="1370"/>
      <c r="J51" s="1370"/>
      <c r="K51" s="1370"/>
      <c r="L51" s="1514"/>
      <c r="M51" s="1377"/>
      <c r="N51" s="1377"/>
      <c r="P51" s="1372"/>
      <c r="Q51" s="1373"/>
      <c r="R51" s="1372"/>
      <c r="S51" s="1378"/>
      <c r="T51" s="1381" t="s">
        <v>302</v>
      </c>
      <c r="U51" s="1380"/>
      <c r="V51" s="1380"/>
      <c r="W51" s="1380"/>
      <c r="X51" s="1380"/>
      <c r="Y51" s="1380"/>
      <c r="Z51" s="1380"/>
      <c r="AA51" s="1380"/>
      <c r="AB51" s="1380"/>
      <c r="AC51" s="1380"/>
      <c r="AD51" s="1380"/>
      <c r="AE51" s="1380"/>
      <c r="AF51" s="1380"/>
      <c r="AG51" s="1380"/>
      <c r="AH51" s="1380"/>
      <c r="AI51" s="1380"/>
      <c r="AJ51" s="1380"/>
      <c r="AK51" s="1380"/>
      <c r="AM51" s="845"/>
      <c r="AN51" s="845" t="str">
        <f>IF(T51="","",T51)</f>
        <v>Добавить централизованную систему для дифференциации</v>
      </c>
      <c r="AO51" s="845"/>
      <c r="AP51" s="845"/>
      <c r="AQ51" s="574">
        <v>0</v>
      </c>
    </row>
    <row s="2851" customFormat="1" customHeight="1" ht="0">
      <c r="A52" s="1399" t="s">
        <v>368</v>
      </c>
      <c r="B52" s="1399"/>
      <c r="C52" s="1399"/>
      <c r="D52" s="1399"/>
      <c r="E52" s="2314"/>
      <c r="F52" s="1399"/>
      <c r="G52" s="1399"/>
      <c r="H52" s="1399"/>
      <c r="I52" s="1399"/>
      <c r="J52" s="1399"/>
      <c r="K52" s="1399"/>
      <c r="L52" s="1402"/>
      <c r="M52" s="1377"/>
      <c r="N52" s="1377"/>
      <c r="O52" s="574"/>
      <c r="P52" s="436"/>
      <c r="Q52" s="1400"/>
      <c r="R52" s="436"/>
      <c r="S52" s="1378"/>
      <c r="T52" s="1381" t="s">
        <v>359</v>
      </c>
      <c r="U52" s="1380"/>
      <c r="V52" s="1380"/>
      <c r="W52" s="1380"/>
      <c r="X52" s="1380"/>
      <c r="Y52" s="1380"/>
      <c r="Z52" s="1380"/>
      <c r="AA52" s="1380"/>
      <c r="AB52" s="1380"/>
      <c r="AC52" s="1380"/>
      <c r="AD52" s="1380"/>
      <c r="AE52" s="1380"/>
      <c r="AF52" s="1380"/>
      <c r="AG52" s="1380"/>
      <c r="AH52" s="1380"/>
      <c r="AI52" s="1380"/>
      <c r="AJ52" s="1380"/>
      <c r="AK52" s="1380"/>
      <c r="AM52" s="556"/>
      <c r="AN52" s="556" t="str">
        <f>IF(T52="","",T52)</f>
        <v>Добавить территорию для дифференциации</v>
      </c>
      <c r="AO52" s="556"/>
      <c r="AP52" s="556"/>
      <c r="AQ52" s="567">
        <v>0</v>
      </c>
    </row>
    <row s="2851" customFormat="1" customHeight="1" ht="0">
      <c r="A53" s="1370"/>
      <c r="B53" s="1370"/>
      <c r="C53" s="1370"/>
      <c r="D53" s="1370"/>
      <c r="E53" s="1399"/>
      <c r="F53" s="1370"/>
      <c r="G53" s="1370"/>
      <c r="H53" s="1370"/>
      <c r="I53" s="1370"/>
      <c r="J53" s="1370"/>
      <c r="K53" s="1370"/>
      <c r="L53" s="1514"/>
      <c r="M53" s="1377"/>
      <c r="N53" s="1377"/>
      <c r="P53" s="1372"/>
      <c r="Q53" s="1373"/>
      <c r="R53" s="1372"/>
      <c r="S53" s="1378"/>
      <c r="T53" s="1381" t="s">
        <v>360</v>
      </c>
      <c r="U53" s="1380"/>
      <c r="V53" s="1380"/>
      <c r="W53" s="1380"/>
      <c r="X53" s="1380"/>
      <c r="Y53" s="1380"/>
      <c r="Z53" s="1380"/>
      <c r="AA53" s="1380"/>
      <c r="AB53" s="1380"/>
      <c r="AC53" s="1380"/>
      <c r="AD53" s="1380"/>
      <c r="AE53" s="1380"/>
      <c r="AF53" s="1380"/>
      <c r="AG53" s="1380"/>
      <c r="AH53" s="1380"/>
      <c r="AI53" s="1380"/>
      <c r="AJ53" s="1380"/>
      <c r="AK53" s="1380"/>
      <c r="AM53" s="845"/>
      <c r="AN53" s="845" t="str">
        <f>IF(T53="","",T53)</f>
        <v>Добавить наименование тарифа</v>
      </c>
      <c r="AO53" s="845"/>
      <c r="AP53" s="845"/>
      <c r="AQ53" s="574">
        <v>0</v>
      </c>
    </row>
    <row customHeight="1" ht="11.549999999999999">
      <c r="M54" s="1216"/>
      <c r="N54" s="1216"/>
      <c r="O54" s="593"/>
      <c r="P54" s="1211"/>
      <c r="Q54" s="1211"/>
      <c r="R54" s="1211"/>
      <c r="S54" s="1211"/>
      <c r="AL54" s="1211"/>
      <c r="AM54" s="1211"/>
      <c r="AN54" s="1211"/>
      <c r="AO54" s="1211"/>
      <c r="AP54" s="1211"/>
      <c r="AQ54" s="1211">
        <v>11</v>
      </c>
    </row>
    <row customHeight="1" ht="14.699999999999998">
      <c r="O55" s="593"/>
      <c r="S55" s="1309"/>
      <c r="T55" s="2341"/>
      <c r="U55" s="2341"/>
      <c r="V55" s="2341"/>
      <c r="W55" s="2341"/>
      <c r="X55" s="2341"/>
      <c r="Y55" s="2341"/>
      <c r="Z55" s="2341"/>
      <c r="AA55" s="2341"/>
      <c r="AB55" s="2341"/>
      <c r="AC55" s="2341"/>
      <c r="AD55" s="2341"/>
      <c r="AE55" s="2341"/>
      <c r="AF55" s="2341"/>
      <c r="AG55" s="2341"/>
      <c r="AH55" s="2341"/>
      <c r="AI55" s="2341"/>
      <c r="AJ55" s="2341"/>
      <c r="AK55" s="2341"/>
      <c r="AQ55" s="1211">
        <v>14</v>
      </c>
    </row>
    <row customHeight="1" ht="14.699999999999998">
      <c r="O56" s="593"/>
      <c r="AQ56" s="1211">
        <v>14</v>
      </c>
    </row>
    <row customHeight="1" ht="14.699999999999998">
      <c r="O57" s="593"/>
      <c r="S57" s="1309"/>
      <c r="T57" s="2341"/>
      <c r="U57" s="2341"/>
      <c r="V57" s="2341"/>
      <c r="W57" s="2341"/>
      <c r="X57" s="2341"/>
      <c r="Y57" s="2341"/>
      <c r="Z57" s="2341"/>
      <c r="AA57" s="2341"/>
      <c r="AB57" s="2341"/>
      <c r="AC57" s="2341"/>
      <c r="AD57" s="2341"/>
      <c r="AE57" s="2341"/>
      <c r="AF57" s="2341"/>
      <c r="AG57" s="2341"/>
      <c r="AH57" s="2341"/>
      <c r="AI57" s="2341"/>
      <c r="AJ57" s="2341"/>
      <c r="AK57" s="2341"/>
      <c r="AQ57" s="1211">
        <v>14</v>
      </c>
    </row>
    <row customHeight="1" ht="22.5" hidden="1">
      <c r="A58" s="1216" t="s">
        <v>86</v>
      </c>
      <c r="B58" s="1216">
        <v>0</v>
      </c>
      <c r="C58" s="1216">
        <v>0</v>
      </c>
      <c r="D58" s="1216">
        <v>0</v>
      </c>
      <c r="E58" s="1216">
        <v>0</v>
      </c>
      <c r="F58" s="1216">
        <v>0</v>
      </c>
      <c r="G58" s="1216">
        <v>0</v>
      </c>
      <c r="H58" s="1216">
        <v>0</v>
      </c>
      <c r="I58" s="1216">
        <v>0</v>
      </c>
      <c r="J58" s="1216">
        <v>0</v>
      </c>
      <c r="K58" s="1216">
        <v>0</v>
      </c>
      <c r="L58" s="1503">
        <v>0</v>
      </c>
      <c r="M58" s="1418">
        <v>0</v>
      </c>
      <c r="N58" s="1418">
        <v>0</v>
      </c>
      <c r="O58" s="1418">
        <v>0</v>
      </c>
      <c r="P58" s="1502">
        <v>3</v>
      </c>
      <c r="Q58" s="400">
        <v>3</v>
      </c>
      <c r="R58" s="400">
        <v>3</v>
      </c>
      <c r="S58" s="637">
        <v>12</v>
      </c>
      <c r="T58" s="1211">
        <v>35</v>
      </c>
      <c r="U58" s="1211">
        <v>0</v>
      </c>
      <c r="V58" s="1211">
        <v>0</v>
      </c>
      <c r="W58" s="1211">
        <v>0</v>
      </c>
      <c r="X58" s="1211">
        <v>0</v>
      </c>
      <c r="Y58" s="1211">
        <v>0</v>
      </c>
      <c r="Z58" s="1211">
        <v>0</v>
      </c>
      <c r="AA58" s="1211">
        <v>0</v>
      </c>
      <c r="AB58" s="1211">
        <v>0</v>
      </c>
      <c r="AC58" s="1211">
        <v>24</v>
      </c>
      <c r="AD58" s="1211">
        <v>24</v>
      </c>
      <c r="AE58" s="1211">
        <v>24</v>
      </c>
      <c r="AF58" s="1211">
        <v>11</v>
      </c>
      <c r="AG58" s="1211">
        <v>3</v>
      </c>
      <c r="AH58" s="1211">
        <v>11</v>
      </c>
      <c r="AI58" s="1211">
        <v>0</v>
      </c>
      <c r="AJ58" s="1211">
        <v>4</v>
      </c>
      <c r="AK58" s="1211">
        <v>115</v>
      </c>
      <c r="AL58" s="567">
        <v>10</v>
      </c>
      <c r="AM58" s="567">
        <v>10</v>
      </c>
      <c r="AN58" s="567">
        <v>10</v>
      </c>
      <c r="AO58" s="567">
        <v>10</v>
      </c>
      <c r="AP58" s="567">
        <v>10</v>
      </c>
      <c r="AQ58" s="121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5C0E7-D187-B3AD-40DC-264F0BD26CC7}"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22.5" hidden="1">
      <c r="X1" s="383"/>
      <c r="Y1" s="383"/>
      <c r="AE1" s="383"/>
      <c r="AF1" s="383"/>
      <c r="AQ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13">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2300"/>
      <c r="AK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56"/>
      <c r="AN2" s="556" t="str">
        <f>IF(T2="","",T2)</f>
        <v>Наименование тарифа</v>
      </c>
      <c r="AO2" s="556"/>
      <c r="AP2" s="556"/>
      <c r="AQ2" s="1211">
        <v>0</v>
      </c>
    </row>
    <row customHeight="1" ht="23.25" hidden="1">
      <c r="A3" s="1419"/>
      <c r="B3" s="1419"/>
      <c r="C3" s="1419"/>
      <c r="D3" s="1419"/>
      <c r="E3" s="2315"/>
      <c r="F3" s="2314">
        <v>1</v>
      </c>
      <c r="G3" s="1419"/>
      <c r="H3" s="1419"/>
      <c r="I3" s="1419"/>
      <c r="J3" s="1419"/>
      <c r="K3" s="1419"/>
      <c r="L3" s="1420"/>
      <c r="M3" s="1421"/>
      <c r="N3" s="1421"/>
      <c r="O3" s="1421"/>
      <c r="P3" s="1509"/>
      <c r="Q3" s="408"/>
      <c r="R3" s="409"/>
      <c r="S3" s="1513">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2300"/>
      <c r="AK3" s="1314" t="s">
        <v>530</v>
      </c>
      <c r="AM3" s="556"/>
      <c r="AN3" s="556" t="str">
        <f>IF(T3="","",T3)</f>
        <v>Территория действия тарифа</v>
      </c>
      <c r="AO3" s="556"/>
      <c r="AP3" s="556"/>
      <c r="AQ3" s="1211">
        <v>0</v>
      </c>
    </row>
    <row customHeight="1" ht="23.25" hidden="1">
      <c r="A4" s="1419"/>
      <c r="B4" s="1419"/>
      <c r="C4" s="1419"/>
      <c r="D4" s="1419"/>
      <c r="E4" s="2315"/>
      <c r="F4" s="2315"/>
      <c r="G4" s="2314">
        <v>1</v>
      </c>
      <c r="H4" s="1419"/>
      <c r="I4" s="1419"/>
      <c r="J4" s="1419"/>
      <c r="K4" s="1419"/>
      <c r="L4" s="1420"/>
      <c r="M4" s="1421"/>
      <c r="N4" s="1421"/>
      <c r="O4" s="1421"/>
      <c r="P4" s="410"/>
      <c r="Q4" s="408"/>
      <c r="R4" s="409"/>
      <c r="S4" s="1513">
        <f>INDEX(PT_DIFFERENTIATION_NUM_CS,MATCH(C4,PT_DIFFERENTIATION_CS_ID,0))</f>
      </c>
      <c r="T4" s="365" t="s">
        <v>610</v>
      </c>
      <c r="U4" s="356"/>
      <c r="V4" s="2298"/>
      <c r="W4" s="2299"/>
      <c r="X4" s="2299"/>
      <c r="Y4" s="2299"/>
      <c r="Z4" s="2299"/>
      <c r="AA4" s="2299"/>
      <c r="AB4" s="2300"/>
      <c r="AC4" s="2298">
        <f>INDEX(PT_DIFFERENTIATION_CS,MATCH(C4,PT_DIFFERENTIATION_CS_ID,0))</f>
      </c>
      <c r="AD4" s="2299"/>
      <c r="AE4" s="2299"/>
      <c r="AF4" s="2299"/>
      <c r="AG4" s="2299"/>
      <c r="AH4" s="2299"/>
      <c r="AI4" s="2299"/>
      <c r="AJ4" s="2300"/>
      <c r="AK4" s="1314" t="s">
        <v>611</v>
      </c>
      <c r="AM4" s="556"/>
      <c r="AN4" s="556" t="str">
        <f>IF(T4="","",T4)</f>
        <v>Наименование централизованной системы холодного водоснабжения</v>
      </c>
      <c r="AO4" s="556"/>
      <c r="AP4" s="556"/>
      <c r="AQ4" s="1211">
        <v>0</v>
      </c>
    </row>
    <row customHeight="1" ht="23.25" hidden="1">
      <c r="A5" s="1419"/>
      <c r="B5" s="1419"/>
      <c r="C5" s="1419"/>
      <c r="D5" s="1419"/>
      <c r="E5" s="2315"/>
      <c r="F5" s="2315"/>
      <c r="G5" s="2315"/>
      <c r="H5" s="2315"/>
      <c r="I5" s="2312">
        <f>S4&amp;".1"</f>
      </c>
      <c r="J5" s="1419"/>
      <c r="K5" s="1419"/>
      <c r="L5" s="1420"/>
      <c r="P5" s="2313">
        <v>1</v>
      </c>
      <c r="Q5" s="1506"/>
      <c r="R5" s="412"/>
      <c r="S5" s="1513">
        <f>$I5</f>
      </c>
      <c r="T5" s="341" t="s">
        <v>612</v>
      </c>
      <c r="U5" s="356"/>
      <c r="V5" s="2406"/>
      <c r="W5" s="2407"/>
      <c r="X5" s="2407"/>
      <c r="Y5" s="2407"/>
      <c r="Z5" s="2407"/>
      <c r="AA5" s="2407"/>
      <c r="AB5" s="2408"/>
      <c r="AC5" s="2409"/>
      <c r="AD5" s="2410"/>
      <c r="AE5" s="2410"/>
      <c r="AF5" s="2410"/>
      <c r="AG5" s="2410"/>
      <c r="AH5" s="2410"/>
      <c r="AI5" s="2410"/>
      <c r="AJ5" s="2411"/>
      <c r="AK5" s="1314" t="s">
        <v>613</v>
      </c>
      <c r="AM5" s="556"/>
      <c r="AN5" s="556" t="str">
        <f>IF(T5="","",T5)</f>
        <v>Наименование признака дифференциации</v>
      </c>
      <c r="AO5" s="556"/>
      <c r="AP5" s="556"/>
      <c r="AQ5" s="1211">
        <v>0</v>
      </c>
    </row>
    <row customHeight="1" ht="23.25" hidden="1">
      <c r="A6" s="1419"/>
      <c r="B6" s="1419"/>
      <c r="C6" s="1419"/>
      <c r="D6" s="1419"/>
      <c r="E6" s="2315"/>
      <c r="F6" s="2315"/>
      <c r="G6" s="2315"/>
      <c r="H6" s="2315"/>
      <c r="I6" s="2342"/>
      <c r="J6" s="2312">
        <f>I5&amp;".1"</f>
      </c>
      <c r="K6" s="1419"/>
      <c r="L6" s="1420" t="s">
        <v>538</v>
      </c>
      <c r="P6" s="2313"/>
      <c r="Q6" s="2313">
        <v>1</v>
      </c>
      <c r="R6" s="413"/>
      <c r="S6" s="1513">
        <f>$J6</f>
      </c>
      <c r="T6" s="342" t="s">
        <v>539</v>
      </c>
      <c r="U6" s="356"/>
      <c r="V6" s="2301"/>
      <c r="W6" s="2302"/>
      <c r="X6" s="2302"/>
      <c r="Y6" s="2302"/>
      <c r="Z6" s="2302"/>
      <c r="AA6" s="2302"/>
      <c r="AB6" s="2303"/>
      <c r="AC6" s="2301"/>
      <c r="AD6" s="2302"/>
      <c r="AE6" s="2302"/>
      <c r="AF6" s="2302"/>
      <c r="AG6" s="2302"/>
      <c r="AH6" s="2302"/>
      <c r="AI6" s="2302"/>
      <c r="AJ6" s="2303"/>
      <c r="AK6" s="1363" t="s">
        <v>614</v>
      </c>
      <c r="AM6" s="556"/>
      <c r="AN6" s="556" t="str">
        <f>IF(T6="","",T6)</f>
        <v>Группа потребителей</v>
      </c>
      <c r="AO6" s="556"/>
      <c r="AP6" s="556"/>
      <c r="AQ6" s="1211">
        <v>0</v>
      </c>
    </row>
    <row customHeight="1" ht="23.25" hidden="1">
      <c r="A7" s="1419"/>
      <c r="B7" s="1419"/>
      <c r="C7" s="1419"/>
      <c r="D7" s="1419"/>
      <c r="E7" s="2315"/>
      <c r="F7" s="2315"/>
      <c r="G7" s="2315"/>
      <c r="H7" s="2315"/>
      <c r="I7" s="2342"/>
      <c r="J7" s="2342"/>
      <c r="K7" s="2312">
        <f>J6&amp;".1"</f>
      </c>
      <c r="L7" s="1420"/>
      <c r="P7" s="2313"/>
      <c r="Q7" s="2313"/>
      <c r="R7" s="413">
        <v>1</v>
      </c>
      <c r="S7" s="1513">
        <f>$K7</f>
      </c>
      <c r="T7" s="1493"/>
      <c r="U7" s="356"/>
      <c r="V7" s="807"/>
      <c r="W7" s="807"/>
      <c r="X7" s="1313"/>
      <c r="Y7" s="2321"/>
      <c r="Z7" s="2163" t="s">
        <v>65</v>
      </c>
      <c r="AA7" s="2321"/>
      <c r="AB7" s="2163" t="s">
        <v>65</v>
      </c>
      <c r="AC7" s="807"/>
      <c r="AD7" s="807"/>
      <c r="AE7" s="1313"/>
      <c r="AF7" s="2321"/>
      <c r="AG7" s="2163" t="s">
        <v>65</v>
      </c>
      <c r="AH7" s="2343"/>
      <c r="AI7" s="2163" t="s">
        <v>65</v>
      </c>
      <c r="AJ7" s="1494"/>
      <c r="AK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67">
        <f>STRCHECKDATE(V8:AJ8)</f>
      </c>
      <c r="AM7" s="556"/>
      <c r="AN7" s="556" t="str">
        <f>IF(T7="","",T7)</f>
        <v/>
      </c>
      <c r="AO7" s="556"/>
      <c r="AP7" s="556"/>
      <c r="AQ7" s="1211">
        <v>0</v>
      </c>
    </row>
    <row customHeight="1" ht="14.25" hidden="1">
      <c r="A8" s="1419"/>
      <c r="B8" s="1419"/>
      <c r="C8" s="1419"/>
      <c r="D8" s="1419"/>
      <c r="E8" s="2315"/>
      <c r="F8" s="2315"/>
      <c r="G8" s="2315"/>
      <c r="H8" s="2315"/>
      <c r="I8" s="2342"/>
      <c r="J8" s="2342"/>
      <c r="K8" s="2312"/>
      <c r="L8" s="1420"/>
      <c r="P8" s="2313"/>
      <c r="Q8" s="2313"/>
      <c r="R8" s="413"/>
      <c r="S8" s="1512"/>
      <c r="T8" s="356"/>
      <c r="U8" s="356"/>
      <c r="V8" s="381"/>
      <c r="W8" s="381"/>
      <c r="X8" s="384" t="str">
        <f>Y7&amp;"-"&amp;AA7</f>
        <v>-</v>
      </c>
      <c r="Y8" s="2322"/>
      <c r="Z8" s="2163"/>
      <c r="AA8" s="2322"/>
      <c r="AB8" s="2163"/>
      <c r="AC8" s="381"/>
      <c r="AD8" s="381"/>
      <c r="AE8" s="384" t="str">
        <f>AF7&amp;"-"&amp;AH7</f>
        <v>-</v>
      </c>
      <c r="AF8" s="2322"/>
      <c r="AG8" s="2163"/>
      <c r="AH8" s="2344"/>
      <c r="AI8" s="2163"/>
      <c r="AJ8" s="1495"/>
      <c r="AK8" s="2405"/>
      <c r="AM8" s="556"/>
      <c r="AN8" s="556" t="str">
        <f>IF(T8="","",T8)</f>
        <v/>
      </c>
      <c r="AO8" s="556"/>
      <c r="AP8" s="556"/>
      <c r="AQ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423"/>
      <c r="AK9" s="1314" t="s">
        <v>616</v>
      </c>
      <c r="AM9" s="556"/>
      <c r="AN9" s="556" t="str">
        <f>IF(T9="","",T9)</f>
        <v>Добавить значение признака дифференциации</v>
      </c>
      <c r="AO9" s="556"/>
      <c r="AP9" s="556"/>
      <c r="AQ9" s="1211">
        <v>0</v>
      </c>
    </row>
    <row customHeight="1" ht="21" hidden="1">
      <c r="A10" s="1419"/>
      <c r="B10" s="1419"/>
      <c r="C10" s="1419"/>
      <c r="D10" s="1419"/>
      <c r="E10" s="2315"/>
      <c r="F10" s="2315"/>
      <c r="G10" s="2315"/>
      <c r="H10" s="2315"/>
      <c r="I10" s="2312"/>
      <c r="J10" s="1419"/>
      <c r="K10" s="1419"/>
      <c r="L10" s="1420"/>
      <c r="P10" s="2313"/>
      <c r="Q10" s="1506"/>
      <c r="R10" s="412"/>
      <c r="S10" s="1334"/>
      <c r="T10" s="421" t="s">
        <v>544</v>
      </c>
      <c r="U10" s="423"/>
      <c r="V10" s="423"/>
      <c r="W10" s="423"/>
      <c r="X10" s="423"/>
      <c r="Y10" s="423"/>
      <c r="Z10" s="423"/>
      <c r="AA10" s="423"/>
      <c r="AB10" s="422"/>
      <c r="AC10" s="423"/>
      <c r="AD10" s="423"/>
      <c r="AE10" s="423"/>
      <c r="AF10" s="423"/>
      <c r="AG10" s="423"/>
      <c r="AH10" s="423"/>
      <c r="AI10" s="422"/>
      <c r="AJ10" s="423"/>
      <c r="AK10" s="1496"/>
      <c r="AM10" s="556"/>
      <c r="AN10" s="556" t="str">
        <f>IF(T10="","",T10)</f>
        <v>Добавить группу потребителей</v>
      </c>
      <c r="AO10" s="556"/>
      <c r="AP10" s="556"/>
      <c r="AQ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23"/>
      <c r="AK11" s="359"/>
      <c r="AM11" s="556"/>
      <c r="AN11" s="556" t="str">
        <f>IF(T11="","",T11)</f>
        <v>Добавить наименование признака дифференциации</v>
      </c>
      <c r="AO11" s="556"/>
      <c r="AP11" s="556"/>
      <c r="AQ11" s="1211">
        <v>0</v>
      </c>
    </row>
    <row s="2851" customFormat="1" customHeight="1" ht="14.25" hidden="1">
      <c r="A12" s="1399"/>
      <c r="B12" s="1399"/>
      <c r="C12" s="1370"/>
      <c r="D12" s="1370"/>
      <c r="E12" s="2315"/>
      <c r="F12" s="2314"/>
      <c r="G12" s="1370"/>
      <c r="H12" s="1370"/>
      <c r="I12" s="1370"/>
      <c r="J12" s="1370"/>
      <c r="K12" s="1370"/>
      <c r="L12" s="1514"/>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M12" s="845"/>
      <c r="AN12" s="845" t="str">
        <f>IF(T12="","",T12)</f>
        <v>Добавить централизованную систему для дифференциации</v>
      </c>
      <c r="AO12" s="845"/>
      <c r="AP12" s="845"/>
      <c r="AQ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M13" s="556"/>
      <c r="AN13" s="556" t="str">
        <f>IF(T13="","",T13)</f>
        <v>Добавить территорию для дифференциации</v>
      </c>
      <c r="AO13" s="556"/>
      <c r="AP13" s="556"/>
      <c r="AQ13" s="567">
        <v>0</v>
      </c>
    </row>
    <row customHeight="1" ht="14.25" hidden="1">
      <c r="AB14" s="383"/>
      <c r="AI14" s="383"/>
      <c r="AQ14" s="1211">
        <v>0</v>
      </c>
    </row>
    <row customHeight="1" ht="14.25" hidden="1">
      <c r="AC15" s="1416"/>
      <c r="AD15" s="1416"/>
      <c r="AE15" s="1417"/>
      <c r="AF15" s="2323"/>
      <c r="AG15" s="2324" t="s">
        <v>65</v>
      </c>
      <c r="AH15" s="2323"/>
      <c r="AI15" s="2324" t="s">
        <v>65</v>
      </c>
      <c r="AQ15" s="1211">
        <v>0</v>
      </c>
    </row>
    <row customHeight="1" ht="14.25" hidden="1">
      <c r="AC16" s="1416"/>
      <c r="AD16" s="1416"/>
      <c r="AE16" s="384" t="str">
        <f>AF15&amp;"-"&amp;AH15</f>
        <v>-</v>
      </c>
      <c r="AF16" s="2324"/>
      <c r="AG16" s="2324"/>
      <c r="AH16" s="2324"/>
      <c r="AI16" s="2324"/>
      <c r="AQ16" s="1211">
        <v>0</v>
      </c>
    </row>
    <row customHeight="1" ht="14.25" hidden="1">
      <c r="AI17" s="383"/>
      <c r="AQ17" s="1211">
        <v>0</v>
      </c>
    </row>
    <row s="2850" customFormat="1" customHeight="1" ht="22.5" hidden="1">
      <c r="L18" s="1503"/>
      <c r="M18" s="1418"/>
      <c r="N18" s="1418"/>
      <c r="O18" s="1423" t="s">
        <v>547</v>
      </c>
      <c r="P18" s="1418"/>
      <c r="Q18" s="1427"/>
      <c r="R18" s="1427"/>
      <c r="S18" s="785"/>
      <c r="Y18" s="1423"/>
      <c r="AA18" s="1423"/>
      <c r="AB18" s="1422"/>
      <c r="AF18" s="1423"/>
      <c r="AH18" s="1423"/>
      <c r="AI18" s="1422"/>
      <c r="AL18" s="567"/>
      <c r="AM18" s="567"/>
      <c r="AN18" s="567"/>
      <c r="AO18" s="567"/>
      <c r="AP18" s="567"/>
      <c r="AQ18" s="1216">
        <v>0</v>
      </c>
    </row>
    <row s="2850" customFormat="1" customHeight="1" ht="14.25" hidden="1">
      <c r="L19" s="1503"/>
      <c r="M19" s="1418"/>
      <c r="N19" s="1418"/>
      <c r="O19" s="1418"/>
      <c r="P19" s="1418"/>
      <c r="Q19" s="1427"/>
      <c r="R19" s="1427"/>
      <c r="S19" s="785"/>
      <c r="AB19" s="1422"/>
      <c r="AI19" s="1422"/>
      <c r="AL19" s="567"/>
      <c r="AM19" s="567"/>
      <c r="AN19" s="567"/>
      <c r="AO19" s="567"/>
      <c r="AP19" s="567"/>
      <c r="AQ19" s="1216">
        <v>0</v>
      </c>
    </row>
    <row s="2850" customFormat="1" customHeight="1" ht="12" hidden="1">
      <c r="L20" s="1503"/>
      <c r="M20" s="1418"/>
      <c r="N20" s="1418"/>
      <c r="O20" s="1420" t="s">
        <v>548</v>
      </c>
      <c r="P20" s="1418"/>
      <c r="Q20" s="1498"/>
      <c r="R20" s="1498"/>
      <c r="S20" s="785"/>
      <c r="T20" s="1216" t="s">
        <v>549</v>
      </c>
      <c r="Z20" s="242" t="s">
        <v>550</v>
      </c>
      <c r="AB20" s="242" t="s">
        <v>551</v>
      </c>
      <c r="AC20" s="1216" t="s">
        <v>549</v>
      </c>
      <c r="AG20" s="242" t="s">
        <v>552</v>
      </c>
      <c r="AI20" s="242" t="s">
        <v>551</v>
      </c>
      <c r="AQ20" s="1216">
        <v>0</v>
      </c>
    </row>
    <row customHeight="1" ht="14.25" hidden="1">
      <c r="O21" s="1420"/>
      <c r="AQ21" s="1211">
        <v>0</v>
      </c>
    </row>
    <row customHeight="1" ht="14.25" hidden="1">
      <c r="O22" s="1420"/>
      <c r="AQ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Q23" s="1211">
        <v>14</v>
      </c>
    </row>
    <row customHeight="1" ht="14.699999999999998">
      <c r="Q24" s="432"/>
      <c r="R24" s="432"/>
      <c r="S24" s="2304"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Q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565"/>
      <c r="AQ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382"/>
      <c r="AK27" s="336"/>
      <c r="AL27" s="424"/>
      <c r="AM27" s="424"/>
      <c r="AN27" s="424"/>
      <c r="AO27" s="424"/>
      <c r="AP27" s="424"/>
      <c r="AQ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382"/>
      <c r="AK28" s="336"/>
      <c r="AL28" s="424"/>
      <c r="AM28" s="424"/>
      <c r="AN28" s="424"/>
      <c r="AO28" s="424"/>
      <c r="AP28" s="424"/>
      <c r="AQ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382"/>
      <c r="AK29" s="336"/>
      <c r="AL29" s="424"/>
      <c r="AM29" s="424"/>
      <c r="AN29" s="424"/>
      <c r="AO29" s="424"/>
      <c r="AP29" s="424"/>
      <c r="AQ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382"/>
      <c r="AK30" s="336"/>
      <c r="AL30" s="424"/>
      <c r="AM30" s="424"/>
      <c r="AN30" s="424"/>
      <c r="AO30" s="424"/>
      <c r="AP30" s="424"/>
      <c r="AQ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565"/>
      <c r="AQ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382"/>
      <c r="AK32" s="336"/>
      <c r="AL32" s="424"/>
      <c r="AM32" s="424"/>
      <c r="AN32" s="424"/>
      <c r="AO32" s="424"/>
      <c r="AP32" s="424"/>
      <c r="AQ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382"/>
      <c r="AK33" s="336"/>
      <c r="AL33" s="424"/>
      <c r="AM33" s="424"/>
      <c r="AN33" s="424"/>
      <c r="AO33" s="424"/>
      <c r="AP33" s="424"/>
      <c r="AQ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10"/>
      <c r="V34" s="382"/>
      <c r="W34" s="382"/>
      <c r="X34" s="382"/>
      <c r="Y34" s="382"/>
      <c r="Z34" s="382"/>
      <c r="AA34" s="382"/>
      <c r="AB34" s="334" t="s">
        <v>557</v>
      </c>
      <c r="AC34" s="382"/>
      <c r="AD34" s="382"/>
      <c r="AE34" s="382"/>
      <c r="AF34" s="382"/>
      <c r="AG34" s="382"/>
      <c r="AH34" s="382"/>
      <c r="AI34" s="334" t="s">
        <v>557</v>
      </c>
      <c r="AL34" s="424"/>
      <c r="AM34" s="424"/>
      <c r="AN34" s="424"/>
      <c r="AO34" s="424"/>
      <c r="AP34" s="424"/>
      <c r="AQ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Q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t="s">
        <v>433</v>
      </c>
      <c r="AQ36" s="1211">
        <v>14</v>
      </c>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2336" t="s">
        <v>562</v>
      </c>
      <c r="AK37" s="2183"/>
      <c r="AQ37" s="1211">
        <v>14</v>
      </c>
    </row>
    <row customHeight="1" ht="35.699999999999996">
      <c r="Q38" s="432"/>
      <c r="R38" s="432"/>
      <c r="S38" s="2329"/>
      <c r="T38" s="2265"/>
      <c r="U38" s="1087"/>
      <c r="V38" s="1508" t="s">
        <v>618</v>
      </c>
      <c r="W38" s="2318" t="s">
        <v>565</v>
      </c>
      <c r="X38" s="2319"/>
      <c r="Y38" s="2318" t="s">
        <v>566</v>
      </c>
      <c r="Z38" s="2325"/>
      <c r="AA38" s="2319"/>
      <c r="AB38" s="2334"/>
      <c r="AC38" s="1508" t="s">
        <v>618</v>
      </c>
      <c r="AD38" s="2318" t="s">
        <v>565</v>
      </c>
      <c r="AE38" s="2319"/>
      <c r="AF38" s="2318" t="s">
        <v>566</v>
      </c>
      <c r="AG38" s="2325"/>
      <c r="AH38" s="2319"/>
      <c r="AI38" s="2334"/>
      <c r="AJ38" s="2337"/>
      <c r="AK38" s="2183"/>
      <c r="AQ38" s="1211">
        <v>34</v>
      </c>
    </row>
    <row customHeight="1" ht="35.699999999999996">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508" t="s">
        <v>621</v>
      </c>
      <c r="W39" s="1278" t="s">
        <v>622</v>
      </c>
      <c r="X39" s="1278" t="s">
        <v>623</v>
      </c>
      <c r="Y39" s="1511" t="s">
        <v>576</v>
      </c>
      <c r="Z39" s="2326" t="s">
        <v>577</v>
      </c>
      <c r="AA39" s="2327"/>
      <c r="AB39" s="2335"/>
      <c r="AC39" s="1508" t="s">
        <v>621</v>
      </c>
      <c r="AD39" s="1278" t="s">
        <v>622</v>
      </c>
      <c r="AE39" s="1278" t="s">
        <v>623</v>
      </c>
      <c r="AF39" s="1511" t="s">
        <v>576</v>
      </c>
      <c r="AG39" s="2326" t="s">
        <v>577</v>
      </c>
      <c r="AH39" s="2327"/>
      <c r="AI39" s="2335"/>
      <c r="AJ39" s="2338"/>
      <c r="AK39" s="2183"/>
      <c r="AQ39" s="1211">
        <v>34</v>
      </c>
    </row>
    <row s="3442" customFormat="1" customHeight="1" ht="0">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507">
        <f>OFFSET(V40,0,-1)+1</f>
        <v>3</v>
      </c>
      <c r="W40" s="1507">
        <f>OFFSET(W40,0,-1)+1</f>
        <v>4</v>
      </c>
      <c r="X40" s="1507">
        <f>OFFSET(X40,0,-1)+1</f>
        <v>5</v>
      </c>
      <c r="Y40" s="1507">
        <f>OFFSET(Y40,0,-1)+1</f>
        <v>6</v>
      </c>
      <c r="Z40" s="2328">
        <f>OFFSET(Z40,0,-1)+1</f>
        <v>7</v>
      </c>
      <c r="AA40" s="2328"/>
      <c r="AB40" s="1507">
        <f>OFFSET(AB40,0,-2)+1</f>
        <v>8</v>
      </c>
      <c r="AC40" s="1507">
        <f>OFFSET(AC40,0,-1)+1</f>
        <v>9</v>
      </c>
      <c r="AD40" s="1507">
        <f>OFFSET(AD40,0,-1)+1</f>
        <v>10</v>
      </c>
      <c r="AE40" s="1507">
        <f>OFFSET(AE40,0,-1)+1</f>
        <v>11</v>
      </c>
      <c r="AF40" s="1507">
        <f>OFFSET(AF40,0,-1)+1</f>
        <v>12</v>
      </c>
      <c r="AG40" s="2328">
        <f>OFFSET(AG40,0,-1)+1</f>
        <v>13</v>
      </c>
      <c r="AH40" s="2328"/>
      <c r="AI40" s="1507">
        <f>OFFSET(AI40,0,-2)+1</f>
        <v>14</v>
      </c>
      <c r="AJ40" s="1301">
        <f>OFFSET(AJ40,0,-1)</f>
        <v>14</v>
      </c>
      <c r="AK40" s="1507">
        <f>OFFSET(AK40,0,-1)+1</f>
        <v>15</v>
      </c>
      <c r="AL40" s="567"/>
      <c r="AM40" s="567"/>
      <c r="AN40" s="567"/>
      <c r="AO40" s="567"/>
      <c r="AP40" s="567"/>
      <c r="AQ40" s="552">
        <v>0</v>
      </c>
    </row>
    <row customHeight="1" ht="24">
      <c r="A41" s="1419" t="s">
        <v>373</v>
      </c>
      <c r="B41" s="1419"/>
      <c r="C41" s="1419"/>
      <c r="D41" s="1419"/>
      <c r="E41" s="2314">
        <v>1</v>
      </c>
      <c r="F41" s="1419"/>
      <c r="G41" s="1419"/>
      <c r="H41" s="1419"/>
      <c r="I41" s="1419"/>
      <c r="J41" s="1419"/>
      <c r="K41" s="1419"/>
      <c r="L41" s="1420"/>
      <c r="M41" s="1421"/>
      <c r="N41" s="1421"/>
      <c r="O41" s="1421"/>
      <c r="P41" s="417"/>
      <c r="Q41" s="416"/>
      <c r="R41" s="411"/>
      <c r="S41" s="1513">
        <f>INDEX(PT_DIFFERENTIATION_NUM_NTAR,MATCH(A41,PT_DIFFERENTIATION_NTAR_ID,0))</f>
        <v>0</v>
      </c>
      <c r="T41" s="354" t="s">
        <v>202</v>
      </c>
      <c r="U41" s="356"/>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56"/>
      <c r="AN41" s="556" t="str">
        <f>IF(T41="","",T41)</f>
        <v>Наименование тарифа</v>
      </c>
      <c r="AO41" s="556"/>
      <c r="AP41" s="556"/>
      <c r="AQ41" s="1211">
        <v>23</v>
      </c>
    </row>
    <row customHeight="1" ht="24">
      <c r="A42" s="1419" t="s">
        <v>373</v>
      </c>
      <c r="B42" s="1419" t="s">
        <v>374</v>
      </c>
      <c r="C42" s="1419"/>
      <c r="D42" s="1419"/>
      <c r="E42" s="2315"/>
      <c r="F42" s="2314">
        <v>1</v>
      </c>
      <c r="G42" s="1419"/>
      <c r="H42" s="1419"/>
      <c r="I42" s="1419"/>
      <c r="J42" s="1419"/>
      <c r="K42" s="1419"/>
      <c r="L42" s="1420"/>
      <c r="M42" s="1421"/>
      <c r="N42" s="1421"/>
      <c r="O42" s="1421"/>
      <c r="P42" s="1509"/>
      <c r="Q42" s="408"/>
      <c r="R42" s="409"/>
      <c r="S42" s="1513" t="str">
        <f>INDEX(PT_DIFFERENTIATION_NUM_TER,MATCH(B42,PT_DIFFERENTIATION_TER_ID,0))</f>
        <v>.</v>
      </c>
      <c r="T42" s="364" t="s">
        <v>529</v>
      </c>
      <c r="U42" s="356"/>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314" t="s">
        <v>530</v>
      </c>
      <c r="AM42" s="556"/>
      <c r="AN42" s="556" t="str">
        <f>IF(T42="","",T42)</f>
        <v>Территория действия тарифа</v>
      </c>
      <c r="AO42" s="556"/>
      <c r="AP42" s="556"/>
      <c r="AQ42" s="1211">
        <v>23</v>
      </c>
    </row>
    <row customHeight="1" ht="24">
      <c r="A43" s="1419" t="s">
        <v>373</v>
      </c>
      <c r="B43" s="1419" t="s">
        <v>374</v>
      </c>
      <c r="C43" s="1419" t="s">
        <v>375</v>
      </c>
      <c r="D43" s="1419"/>
      <c r="E43" s="2315"/>
      <c r="F43" s="2315"/>
      <c r="G43" s="2314">
        <v>1</v>
      </c>
      <c r="H43" s="1419"/>
      <c r="I43" s="1419"/>
      <c r="J43" s="1419"/>
      <c r="K43" s="1419"/>
      <c r="L43" s="1420"/>
      <c r="M43" s="1421"/>
      <c r="N43" s="1421"/>
      <c r="O43" s="1421"/>
      <c r="P43" s="410"/>
      <c r="Q43" s="408"/>
      <c r="R43" s="409"/>
      <c r="S43" s="1513" t="str">
        <f>INDEX(PT_DIFFERENTIATION_NUM_CS,MATCH(C43,PT_DIFFERENTIATION_CS_ID,0))</f>
        <v>..</v>
      </c>
      <c r="T43" s="365" t="s">
        <v>610</v>
      </c>
      <c r="U43" s="356"/>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314" t="s">
        <v>611</v>
      </c>
      <c r="AM43" s="556"/>
      <c r="AN43" s="556" t="str">
        <f>IF(T43="","",T43)</f>
        <v>Наименование централизованной системы холодного водоснабжения</v>
      </c>
      <c r="AO43" s="556"/>
      <c r="AP43" s="556"/>
      <c r="AQ43" s="1211">
        <v>23</v>
      </c>
    </row>
    <row customHeight="1" ht="24">
      <c r="A44" s="1419" t="s">
        <v>373</v>
      </c>
      <c r="B44" s="1419" t="s">
        <v>374</v>
      </c>
      <c r="C44" s="1419" t="s">
        <v>375</v>
      </c>
      <c r="D44" s="1419" t="s">
        <v>631</v>
      </c>
      <c r="E44" s="2315"/>
      <c r="F44" s="2315"/>
      <c r="G44" s="2315"/>
      <c r="H44" s="2315"/>
      <c r="I44" s="2312" t="str">
        <f>S43&amp;".1"</f>
        <v>...1</v>
      </c>
      <c r="J44" s="1419"/>
      <c r="K44" s="1419"/>
      <c r="L44" s="1420"/>
      <c r="P44" s="2313">
        <v>1</v>
      </c>
      <c r="Q44" s="1506"/>
      <c r="R44" s="412"/>
      <c r="S44" s="1513" t="str">
        <f>$I44</f>
        <v>...1</v>
      </c>
      <c r="T44" s="341" t="s">
        <v>612</v>
      </c>
      <c r="U44" s="356"/>
      <c r="V44" s="2406"/>
      <c r="W44" s="2407"/>
      <c r="X44" s="2407"/>
      <c r="Y44" s="2407"/>
      <c r="Z44" s="2407"/>
      <c r="AA44" s="2407"/>
      <c r="AB44" s="2408"/>
      <c r="AC44" s="2409"/>
      <c r="AD44" s="2410"/>
      <c r="AE44" s="2410"/>
      <c r="AF44" s="2410"/>
      <c r="AG44" s="2410"/>
      <c r="AH44" s="2410"/>
      <c r="AI44" s="2410"/>
      <c r="AJ44" s="2411"/>
      <c r="AK44" s="1314" t="s">
        <v>613</v>
      </c>
      <c r="AM44" s="556"/>
      <c r="AN44" s="556" t="str">
        <f>IF(T44="","",T44)</f>
        <v>Наименование признака дифференциации</v>
      </c>
      <c r="AO44" s="556"/>
      <c r="AP44" s="556"/>
      <c r="AQ44" s="1211">
        <v>23</v>
      </c>
    </row>
    <row customHeight="1" ht="24">
      <c r="A45" s="1419" t="s">
        <v>373</v>
      </c>
      <c r="B45" s="1419" t="s">
        <v>374</v>
      </c>
      <c r="C45" s="1419" t="s">
        <v>375</v>
      </c>
      <c r="D45" s="1419" t="s">
        <v>631</v>
      </c>
      <c r="E45" s="2315"/>
      <c r="F45" s="2315"/>
      <c r="G45" s="2315"/>
      <c r="H45" s="2315"/>
      <c r="I45" s="2342"/>
      <c r="J45" s="2312" t="str">
        <f>I44&amp;".1"</f>
        <v>...1.1</v>
      </c>
      <c r="K45" s="1419"/>
      <c r="L45" s="1420" t="s">
        <v>538</v>
      </c>
      <c r="P45" s="2313"/>
      <c r="Q45" s="2313">
        <v>1</v>
      </c>
      <c r="R45" s="413"/>
      <c r="S45" s="1513" t="str">
        <f>$J45</f>
        <v>...1.1</v>
      </c>
      <c r="T45" s="342" t="s">
        <v>539</v>
      </c>
      <c r="U45" s="356"/>
      <c r="V45" s="2301"/>
      <c r="W45" s="2302"/>
      <c r="X45" s="2302"/>
      <c r="Y45" s="2302"/>
      <c r="Z45" s="2302"/>
      <c r="AA45" s="2302"/>
      <c r="AB45" s="2303"/>
      <c r="AC45" s="2301"/>
      <c r="AD45" s="2302"/>
      <c r="AE45" s="2302"/>
      <c r="AF45" s="2302"/>
      <c r="AG45" s="2302"/>
      <c r="AH45" s="2302"/>
      <c r="AI45" s="2302"/>
      <c r="AJ45" s="2303"/>
      <c r="AK45" s="1363" t="s">
        <v>614</v>
      </c>
      <c r="AM45" s="556"/>
      <c r="AN45" s="556" t="str">
        <f>IF(T45="","",T45)</f>
        <v>Группа потребителей</v>
      </c>
      <c r="AO45" s="556"/>
      <c r="AP45" s="556"/>
      <c r="AQ45" s="1211">
        <v>23</v>
      </c>
    </row>
    <row customHeight="1" ht="24">
      <c r="A46" s="1419" t="s">
        <v>373</v>
      </c>
      <c r="B46" s="1419" t="s">
        <v>374</v>
      </c>
      <c r="C46" s="1419" t="s">
        <v>375</v>
      </c>
      <c r="D46" s="1419" t="s">
        <v>631</v>
      </c>
      <c r="E46" s="2315"/>
      <c r="F46" s="2315"/>
      <c r="G46" s="2315"/>
      <c r="H46" s="2315"/>
      <c r="I46" s="2342"/>
      <c r="J46" s="2342"/>
      <c r="K46" s="2312" t="str">
        <f>J45&amp;".1"</f>
        <v>...1.1.1</v>
      </c>
      <c r="L46" s="1420"/>
      <c r="P46" s="2313"/>
      <c r="Q46" s="2313"/>
      <c r="R46" s="413">
        <v>1</v>
      </c>
      <c r="S46" s="1513" t="str">
        <f>$K46</f>
        <v>...1.1.1</v>
      </c>
      <c r="T46" s="1493"/>
      <c r="U46" s="356"/>
      <c r="V46" s="807"/>
      <c r="W46" s="807"/>
      <c r="X46" s="1313"/>
      <c r="Y46" s="2321"/>
      <c r="Z46" s="2163" t="s">
        <v>65</v>
      </c>
      <c r="AA46" s="2321"/>
      <c r="AB46" s="2163" t="s">
        <v>65</v>
      </c>
      <c r="AC46" s="807"/>
      <c r="AD46" s="807"/>
      <c r="AE46" s="1313"/>
      <c r="AF46" s="2321"/>
      <c r="AG46" s="2163" t="s">
        <v>65</v>
      </c>
      <c r="AH46" s="2343"/>
      <c r="AI46" s="2163" t="s">
        <v>65</v>
      </c>
      <c r="AJ46" s="1494"/>
      <c r="AK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67">
        <f>STRCHECKDATE(V47:AJ47)</f>
      </c>
      <c r="AM46" s="556"/>
      <c r="AN46" s="556" t="str">
        <f>IF(T46="","",T46)</f>
        <v/>
      </c>
      <c r="AO46" s="556"/>
      <c r="AP46" s="556"/>
      <c r="AQ46" s="1211">
        <v>23</v>
      </c>
    </row>
    <row customHeight="1" ht="0">
      <c r="A47" s="1419" t="s">
        <v>373</v>
      </c>
      <c r="B47" s="1419" t="s">
        <v>374</v>
      </c>
      <c r="C47" s="1419" t="s">
        <v>375</v>
      </c>
      <c r="D47" s="1419" t="s">
        <v>631</v>
      </c>
      <c r="E47" s="2315"/>
      <c r="F47" s="2315"/>
      <c r="G47" s="2315"/>
      <c r="H47" s="2315"/>
      <c r="I47" s="2342"/>
      <c r="J47" s="2342"/>
      <c r="K47" s="2312"/>
      <c r="L47" s="1420"/>
      <c r="P47" s="2313"/>
      <c r="Q47" s="2313"/>
      <c r="R47" s="413"/>
      <c r="S47" s="1512"/>
      <c r="T47" s="356"/>
      <c r="U47" s="356"/>
      <c r="V47" s="381"/>
      <c r="W47" s="381"/>
      <c r="X47" s="384" t="str">
        <f>Y46&amp;"-"&amp;AA46</f>
        <v>-</v>
      </c>
      <c r="Y47" s="2322"/>
      <c r="Z47" s="2163"/>
      <c r="AA47" s="2322"/>
      <c r="AB47" s="2163"/>
      <c r="AC47" s="381"/>
      <c r="AD47" s="381"/>
      <c r="AE47" s="384" t="str">
        <f>AF46&amp;"-"&amp;AH46</f>
        <v>-</v>
      </c>
      <c r="AF47" s="2322"/>
      <c r="AG47" s="2163"/>
      <c r="AH47" s="2344"/>
      <c r="AI47" s="2163"/>
      <c r="AJ47" s="1495"/>
      <c r="AK47" s="2405"/>
      <c r="AM47" s="556"/>
      <c r="AN47" s="556" t="str">
        <f>IF(T47="","",T47)</f>
        <v/>
      </c>
      <c r="AO47" s="556"/>
      <c r="AP47" s="556"/>
      <c r="AQ47" s="1211">
        <v>0</v>
      </c>
    </row>
    <row customHeight="1" ht="21">
      <c r="A48" s="1419" t="s">
        <v>373</v>
      </c>
      <c r="B48" s="1419" t="s">
        <v>374</v>
      </c>
      <c r="C48" s="1419" t="s">
        <v>375</v>
      </c>
      <c r="D48" s="1419" t="s">
        <v>631</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23"/>
      <c r="AK48" s="1314" t="s">
        <v>616</v>
      </c>
      <c r="AM48" s="556"/>
      <c r="AN48" s="556" t="str">
        <f>IF(T48="","",T48)</f>
        <v>Добавить значение признака дифференциации</v>
      </c>
      <c r="AO48" s="556"/>
      <c r="AP48" s="556"/>
      <c r="AQ48" s="1211">
        <v>20</v>
      </c>
    </row>
    <row customHeight="1" ht="22.049999999999997">
      <c r="A49" s="1419" t="s">
        <v>373</v>
      </c>
      <c r="B49" s="1419" t="s">
        <v>374</v>
      </c>
      <c r="C49" s="1419" t="s">
        <v>375</v>
      </c>
      <c r="D49" s="1419" t="s">
        <v>631</v>
      </c>
      <c r="E49" s="2315"/>
      <c r="F49" s="2315"/>
      <c r="G49" s="2315"/>
      <c r="H49" s="2315"/>
      <c r="I49" s="2312"/>
      <c r="J49" s="1419"/>
      <c r="K49" s="1419"/>
      <c r="L49" s="1420"/>
      <c r="P49" s="2313"/>
      <c r="Q49" s="1506"/>
      <c r="R49" s="412"/>
      <c r="S49" s="1334"/>
      <c r="T49" s="421" t="s">
        <v>544</v>
      </c>
      <c r="U49" s="423"/>
      <c r="V49" s="423"/>
      <c r="W49" s="423"/>
      <c r="X49" s="423"/>
      <c r="Y49" s="423"/>
      <c r="Z49" s="423"/>
      <c r="AA49" s="423"/>
      <c r="AB49" s="422"/>
      <c r="AC49" s="423"/>
      <c r="AD49" s="423"/>
      <c r="AE49" s="423"/>
      <c r="AF49" s="423"/>
      <c r="AG49" s="423"/>
      <c r="AH49" s="423"/>
      <c r="AI49" s="422"/>
      <c r="AJ49" s="423"/>
      <c r="AK49" s="1496"/>
      <c r="AM49" s="556"/>
      <c r="AN49" s="556" t="str">
        <f>IF(T49="","",T49)</f>
        <v>Добавить группу потребителей</v>
      </c>
      <c r="AO49" s="556"/>
      <c r="AP49" s="556"/>
      <c r="AQ49" s="1211">
        <v>21</v>
      </c>
    </row>
    <row customHeight="1" ht="22.049999999999997">
      <c r="A50" s="1419" t="s">
        <v>373</v>
      </c>
      <c r="B50" s="1419" t="s">
        <v>374</v>
      </c>
      <c r="C50" s="1419" t="s">
        <v>375</v>
      </c>
      <c r="D50" s="1419" t="s">
        <v>631</v>
      </c>
      <c r="E50" s="2315"/>
      <c r="F50" s="2315"/>
      <c r="G50" s="2315"/>
      <c r="H50" s="2314"/>
      <c r="I50" s="1419"/>
      <c r="J50" s="1419"/>
      <c r="K50" s="1419"/>
      <c r="L50" s="1420"/>
      <c r="M50" s="1421"/>
      <c r="N50" s="1421"/>
      <c r="O50" s="593"/>
      <c r="P50" s="416"/>
      <c r="Q50" s="431"/>
      <c r="R50" s="411"/>
      <c r="S50" s="1334"/>
      <c r="T50" s="428" t="s">
        <v>617</v>
      </c>
      <c r="U50" s="423"/>
      <c r="V50" s="423"/>
      <c r="W50" s="423"/>
      <c r="X50" s="423"/>
      <c r="Y50" s="423"/>
      <c r="Z50" s="423"/>
      <c r="AA50" s="423"/>
      <c r="AB50" s="422"/>
      <c r="AC50" s="423"/>
      <c r="AD50" s="423"/>
      <c r="AE50" s="423"/>
      <c r="AF50" s="423"/>
      <c r="AG50" s="423"/>
      <c r="AH50" s="423"/>
      <c r="AI50" s="422"/>
      <c r="AJ50" s="423"/>
      <c r="AK50" s="359"/>
      <c r="AM50" s="556"/>
      <c r="AN50" s="556" t="str">
        <f>IF(T50="","",T50)</f>
        <v>Добавить наименование признака дифференциации</v>
      </c>
      <c r="AO50" s="556"/>
      <c r="AP50" s="556"/>
      <c r="AQ50" s="1211">
        <v>21</v>
      </c>
    </row>
    <row s="2851" customFormat="1" customHeight="1" ht="0">
      <c r="A51" s="1399" t="s">
        <v>373</v>
      </c>
      <c r="B51" s="1399" t="s">
        <v>374</v>
      </c>
      <c r="C51" s="1370"/>
      <c r="D51" s="1370"/>
      <c r="E51" s="2315"/>
      <c r="F51" s="2314"/>
      <c r="G51" s="1370"/>
      <c r="H51" s="1370"/>
      <c r="I51" s="1370"/>
      <c r="J51" s="1370"/>
      <c r="K51" s="1370"/>
      <c r="L51" s="1514"/>
      <c r="M51" s="1377"/>
      <c r="N51" s="1377"/>
      <c r="P51" s="1372"/>
      <c r="Q51" s="1373"/>
      <c r="R51" s="1372"/>
      <c r="S51" s="1378"/>
      <c r="T51" s="1381" t="s">
        <v>302</v>
      </c>
      <c r="U51" s="1380"/>
      <c r="V51" s="1380"/>
      <c r="W51" s="1380"/>
      <c r="X51" s="1380"/>
      <c r="Y51" s="1380"/>
      <c r="Z51" s="1380"/>
      <c r="AA51" s="1380"/>
      <c r="AB51" s="1380"/>
      <c r="AC51" s="1380"/>
      <c r="AD51" s="1380"/>
      <c r="AE51" s="1380"/>
      <c r="AF51" s="1380"/>
      <c r="AG51" s="1380"/>
      <c r="AH51" s="1380"/>
      <c r="AI51" s="1380"/>
      <c r="AJ51" s="1380"/>
      <c r="AK51" s="1380"/>
      <c r="AM51" s="845"/>
      <c r="AN51" s="845" t="str">
        <f>IF(T51="","",T51)</f>
        <v>Добавить централизованную систему для дифференциации</v>
      </c>
      <c r="AO51" s="845"/>
      <c r="AP51" s="845"/>
      <c r="AQ51" s="574">
        <v>0</v>
      </c>
    </row>
    <row s="2851" customFormat="1" customHeight="1" ht="0">
      <c r="A52" s="1399" t="s">
        <v>373</v>
      </c>
      <c r="B52" s="1399"/>
      <c r="C52" s="1399"/>
      <c r="D52" s="1399"/>
      <c r="E52" s="2314"/>
      <c r="F52" s="1399"/>
      <c r="G52" s="1399"/>
      <c r="H52" s="1399"/>
      <c r="I52" s="1399"/>
      <c r="J52" s="1399"/>
      <c r="K52" s="1399"/>
      <c r="L52" s="1402"/>
      <c r="M52" s="1377"/>
      <c r="N52" s="1377"/>
      <c r="O52" s="574"/>
      <c r="P52" s="436"/>
      <c r="Q52" s="1400"/>
      <c r="R52" s="436"/>
      <c r="S52" s="1378"/>
      <c r="T52" s="1381" t="s">
        <v>359</v>
      </c>
      <c r="U52" s="1380"/>
      <c r="V52" s="1380"/>
      <c r="W52" s="1380"/>
      <c r="X52" s="1380"/>
      <c r="Y52" s="1380"/>
      <c r="Z52" s="1380"/>
      <c r="AA52" s="1380"/>
      <c r="AB52" s="1380"/>
      <c r="AC52" s="1380"/>
      <c r="AD52" s="1380"/>
      <c r="AE52" s="1380"/>
      <c r="AF52" s="1380"/>
      <c r="AG52" s="1380"/>
      <c r="AH52" s="1380"/>
      <c r="AI52" s="1380"/>
      <c r="AJ52" s="1380"/>
      <c r="AK52" s="1380"/>
      <c r="AM52" s="556"/>
      <c r="AN52" s="556" t="str">
        <f>IF(T52="","",T52)</f>
        <v>Добавить территорию для дифференциации</v>
      </c>
      <c r="AO52" s="556"/>
      <c r="AP52" s="556"/>
      <c r="AQ52" s="567">
        <v>0</v>
      </c>
    </row>
    <row s="2851" customFormat="1" customHeight="1" ht="0">
      <c r="A53" s="1370"/>
      <c r="B53" s="1370"/>
      <c r="C53" s="1370"/>
      <c r="D53" s="1370"/>
      <c r="E53" s="1399"/>
      <c r="F53" s="1370"/>
      <c r="G53" s="1370"/>
      <c r="H53" s="1370"/>
      <c r="I53" s="1370"/>
      <c r="J53" s="1370"/>
      <c r="K53" s="1370"/>
      <c r="L53" s="1514"/>
      <c r="M53" s="1377"/>
      <c r="N53" s="1377"/>
      <c r="P53" s="1372"/>
      <c r="Q53" s="1373"/>
      <c r="R53" s="1372"/>
      <c r="S53" s="1378"/>
      <c r="T53" s="1381" t="s">
        <v>360</v>
      </c>
      <c r="U53" s="1380"/>
      <c r="V53" s="1380"/>
      <c r="W53" s="1380"/>
      <c r="X53" s="1380"/>
      <c r="Y53" s="1380"/>
      <c r="Z53" s="1380"/>
      <c r="AA53" s="1380"/>
      <c r="AB53" s="1380"/>
      <c r="AC53" s="1380"/>
      <c r="AD53" s="1380"/>
      <c r="AE53" s="1380"/>
      <c r="AF53" s="1380"/>
      <c r="AG53" s="1380"/>
      <c r="AH53" s="1380"/>
      <c r="AI53" s="1380"/>
      <c r="AJ53" s="1380"/>
      <c r="AK53" s="1380"/>
      <c r="AM53" s="845"/>
      <c r="AN53" s="845" t="str">
        <f>IF(T53="","",T53)</f>
        <v>Добавить наименование тарифа</v>
      </c>
      <c r="AO53" s="845"/>
      <c r="AP53" s="845"/>
      <c r="AQ53" s="574">
        <v>0</v>
      </c>
    </row>
    <row customHeight="1" ht="11.549999999999999">
      <c r="M54" s="1216"/>
      <c r="N54" s="1216"/>
      <c r="O54" s="593"/>
      <c r="P54" s="1211"/>
      <c r="Q54" s="1211"/>
      <c r="R54" s="1211"/>
      <c r="S54" s="1211"/>
      <c r="AL54" s="1211"/>
      <c r="AM54" s="1211"/>
      <c r="AN54" s="1211"/>
      <c r="AO54" s="1211"/>
      <c r="AP54" s="1211"/>
      <c r="AQ54" s="1211">
        <v>11</v>
      </c>
    </row>
    <row customHeight="1" ht="14.699999999999998">
      <c r="O55" s="593"/>
      <c r="S55" s="1309"/>
      <c r="T55" s="2341"/>
      <c r="U55" s="2341"/>
      <c r="V55" s="2341"/>
      <c r="W55" s="2341"/>
      <c r="X55" s="2341"/>
      <c r="Y55" s="2341"/>
      <c r="Z55" s="2341"/>
      <c r="AA55" s="2341"/>
      <c r="AB55" s="2341"/>
      <c r="AC55" s="2341"/>
      <c r="AD55" s="2341"/>
      <c r="AE55" s="2341"/>
      <c r="AF55" s="2341"/>
      <c r="AG55" s="2341"/>
      <c r="AH55" s="2341"/>
      <c r="AI55" s="2341"/>
      <c r="AJ55" s="2341"/>
      <c r="AK55" s="2341"/>
      <c r="AQ55" s="1211">
        <v>14</v>
      </c>
    </row>
    <row customHeight="1" ht="14.699999999999998">
      <c r="O56" s="593"/>
      <c r="AQ56" s="1211">
        <v>14</v>
      </c>
    </row>
    <row customHeight="1" ht="14.699999999999998">
      <c r="O57" s="593"/>
      <c r="S57" s="1309"/>
      <c r="T57" s="2341"/>
      <c r="U57" s="2341"/>
      <c r="V57" s="2341"/>
      <c r="W57" s="2341"/>
      <c r="X57" s="2341"/>
      <c r="Y57" s="2341"/>
      <c r="Z57" s="2341"/>
      <c r="AA57" s="2341"/>
      <c r="AB57" s="2341"/>
      <c r="AC57" s="2341"/>
      <c r="AD57" s="2341"/>
      <c r="AE57" s="2341"/>
      <c r="AF57" s="2341"/>
      <c r="AG57" s="2341"/>
      <c r="AH57" s="2341"/>
      <c r="AI57" s="2341"/>
      <c r="AJ57" s="2341"/>
      <c r="AK57" s="2341"/>
      <c r="AQ57" s="1211">
        <v>14</v>
      </c>
    </row>
    <row customHeight="1" ht="22.5" hidden="1">
      <c r="A58" s="1216" t="s">
        <v>86</v>
      </c>
      <c r="B58" s="1216">
        <v>0</v>
      </c>
      <c r="C58" s="1216">
        <v>0</v>
      </c>
      <c r="D58" s="1216">
        <v>0</v>
      </c>
      <c r="E58" s="1216">
        <v>0</v>
      </c>
      <c r="F58" s="1216">
        <v>0</v>
      </c>
      <c r="G58" s="1216">
        <v>0</v>
      </c>
      <c r="H58" s="1216">
        <v>0</v>
      </c>
      <c r="I58" s="1216">
        <v>0</v>
      </c>
      <c r="J58" s="1216">
        <v>0</v>
      </c>
      <c r="K58" s="1216">
        <v>0</v>
      </c>
      <c r="L58" s="1503">
        <v>0</v>
      </c>
      <c r="M58" s="1418">
        <v>0</v>
      </c>
      <c r="N58" s="1418">
        <v>0</v>
      </c>
      <c r="O58" s="1418">
        <v>0</v>
      </c>
      <c r="P58" s="1502">
        <v>3</v>
      </c>
      <c r="Q58" s="400">
        <v>3</v>
      </c>
      <c r="R58" s="400">
        <v>3</v>
      </c>
      <c r="S58" s="637">
        <v>12</v>
      </c>
      <c r="T58" s="1211">
        <v>35</v>
      </c>
      <c r="U58" s="1211">
        <v>0</v>
      </c>
      <c r="V58" s="1211">
        <v>0</v>
      </c>
      <c r="W58" s="1211">
        <v>0</v>
      </c>
      <c r="X58" s="1211">
        <v>0</v>
      </c>
      <c r="Y58" s="1211">
        <v>0</v>
      </c>
      <c r="Z58" s="1211">
        <v>0</v>
      </c>
      <c r="AA58" s="1211">
        <v>0</v>
      </c>
      <c r="AB58" s="1211">
        <v>0</v>
      </c>
      <c r="AC58" s="1211">
        <v>24</v>
      </c>
      <c r="AD58" s="1211">
        <v>24</v>
      </c>
      <c r="AE58" s="1211">
        <v>24</v>
      </c>
      <c r="AF58" s="1211">
        <v>11</v>
      </c>
      <c r="AG58" s="1211">
        <v>3</v>
      </c>
      <c r="AH58" s="1211">
        <v>11</v>
      </c>
      <c r="AI58" s="1211">
        <v>0</v>
      </c>
      <c r="AJ58" s="1211">
        <v>4</v>
      </c>
      <c r="AK58" s="1211">
        <v>115</v>
      </c>
      <c r="AL58" s="567">
        <v>10</v>
      </c>
      <c r="AM58" s="567">
        <v>10</v>
      </c>
      <c r="AN58" s="567">
        <v>10</v>
      </c>
      <c r="AO58" s="567">
        <v>10</v>
      </c>
      <c r="AP58" s="567">
        <v>10</v>
      </c>
      <c r="AQ58" s="121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727944-77DD-EF3C-A416-D44B2AC10953}" mc:Ignorable="x14ac xr xr2 xr3">
  <sheetPr>
    <tabColor theme="6" tint="0.4"/>
  </sheetPr>
  <dimension ref="A1:AQ64"/>
  <sheetViews>
    <sheetView topLeftCell="A1" showGridLines="0" zoomScale="90" workbookViewId="0">
      <selection activeCell="A1" sqref="A1"/>
    </sheetView>
  </sheetViews>
  <sheetFormatPr defaultColWidth="10.57421875" customHeight="1" defaultRowHeight="14.25"/>
  <cols>
    <col min="1" max="3" style="2774" width="10.140625" hidden="1" customWidth="1"/>
    <col min="4" max="4" style="2774" width="11.8515625" hidden="1" customWidth="1"/>
    <col min="5" max="11" style="2774" width="10.140625" hidden="1" customWidth="1"/>
    <col min="12" max="12" style="2849" width="10.140625" hidden="1" customWidth="1"/>
    <col min="13" max="15" style="3680" width="10.140625" hidden="1" customWidth="1"/>
    <col min="16" max="16" style="2792" width="3.00390625" customWidth="1"/>
    <col min="17" max="17" style="3602" width="3.00390625" customWidth="1"/>
    <col min="18" max="18" style="3677" width="3.00390625" customWidth="1"/>
    <col min="19" max="19" style="3681" width="12.00390625" customWidth="1"/>
    <col min="20" max="20" style="2774" width="31.00390625" customWidth="1"/>
    <col min="21" max="21" style="2774" width="0.140625" customWidth="1"/>
    <col min="22" max="23" style="2774" width="21.7109375" hidden="1" customWidth="1"/>
    <col min="24" max="24" style="2774" width="11.7109375" hidden="1" customWidth="1"/>
    <col min="25" max="25" style="2774" width="3.7109375" hidden="1" customWidth="1"/>
    <col min="26" max="26" style="2774" width="11.7109375" hidden="1" customWidth="1"/>
    <col min="27" max="27" style="2774" width="8.57421875" hidden="1" customWidth="1"/>
    <col min="28" max="28" style="2774" width="27.00390625" customWidth="1"/>
    <col min="29" max="29" style="2774" width="24.57421875" customWidth="1"/>
    <col min="30" max="31" style="2774" width="21.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0.75" hidden="1">
      <c r="AQ1" s="1687" t="s">
        <v>14</v>
      </c>
    </row>
    <row customHeight="1" ht="21" hidden="1">
      <c r="A2" s="1323"/>
      <c r="B2" s="1323"/>
      <c r="C2" s="1323"/>
      <c r="D2" s="1323"/>
      <c r="E2" s="2345">
        <v>1</v>
      </c>
      <c r="F2" s="1323"/>
      <c r="G2" s="1323"/>
      <c r="H2" s="1323"/>
      <c r="I2" s="1323"/>
      <c r="J2" s="1323"/>
      <c r="K2" s="1323"/>
      <c r="L2" s="1366"/>
      <c r="M2" s="1666"/>
      <c r="N2" s="1666"/>
      <c r="O2" s="1666"/>
      <c r="P2" s="1465"/>
      <c r="Q2" s="929"/>
      <c r="R2" s="411"/>
      <c r="S2" s="2014">
        <f>INDEX(PT_DIFFERENTIATION_NUM_NTAR,MATCH(A2,PT_DIFFERENTIATION_NTAR_ID,0))</f>
      </c>
      <c r="T2" s="1581" t="s">
        <v>202</v>
      </c>
      <c r="U2" s="356"/>
      <c r="V2" s="2299"/>
      <c r="W2" s="2299"/>
      <c r="X2" s="2299"/>
      <c r="Y2" s="2299"/>
      <c r="Z2" s="2299"/>
      <c r="AA2" s="2300"/>
      <c r="AB2" s="2008"/>
      <c r="AC2" s="2299">
        <f>INDEX(PT_DIFFERENTIATION_NTAR,MATCH(A2,PT_DIFFERENTIATION_NTAR_ID,0))</f>
      </c>
      <c r="AD2" s="2299"/>
      <c r="AE2" s="2299"/>
      <c r="AF2" s="2299"/>
      <c r="AG2" s="2299"/>
      <c r="AH2" s="2299"/>
      <c r="AI2" s="2299"/>
      <c r="AJ2" s="2300"/>
      <c r="AK2" s="1314" t="s">
        <v>528</v>
      </c>
      <c r="AM2" s="1680"/>
      <c r="AN2" s="1680" t="str">
        <f>IF(T2="","",T2)</f>
        <v>Наименование тарифа</v>
      </c>
      <c r="AO2" s="1680"/>
      <c r="AP2" s="1680"/>
      <c r="AQ2" s="1687">
        <v>0</v>
      </c>
    </row>
    <row customHeight="1" ht="21" hidden="1">
      <c r="A3" s="1323"/>
      <c r="B3" s="1323"/>
      <c r="C3" s="1323"/>
      <c r="D3" s="1323"/>
      <c r="E3" s="2346"/>
      <c r="F3" s="2345">
        <v>1</v>
      </c>
      <c r="G3" s="1323"/>
      <c r="H3" s="1323"/>
      <c r="I3" s="1323"/>
      <c r="J3" s="1323"/>
      <c r="K3" s="1323"/>
      <c r="L3" s="1366"/>
      <c r="M3" s="1666"/>
      <c r="N3" s="1666"/>
      <c r="O3" s="1666"/>
      <c r="P3" s="2025"/>
      <c r="Q3" s="1467"/>
      <c r="R3" s="409"/>
      <c r="S3" s="2014">
        <f>INDEX(PT_DIFFERENTIATION_NUM_TER,MATCH(B3,PT_DIFFERENTIATION_TER_ID,0))</f>
      </c>
      <c r="T3" s="1578" t="s">
        <v>529</v>
      </c>
      <c r="U3" s="356"/>
      <c r="V3" s="2299"/>
      <c r="W3" s="2299"/>
      <c r="X3" s="2299"/>
      <c r="Y3" s="2299"/>
      <c r="Z3" s="2299"/>
      <c r="AA3" s="2300"/>
      <c r="AB3" s="2008"/>
      <c r="AC3" s="2299">
        <f>INDEX(PT_DIFFERENTIATION_TER,MATCH(B3,PT_DIFFERENTIATION_TER_ID,0))</f>
      </c>
      <c r="AD3" s="2299"/>
      <c r="AE3" s="2299"/>
      <c r="AF3" s="2299"/>
      <c r="AG3" s="2299"/>
      <c r="AH3" s="2299"/>
      <c r="AI3" s="2299"/>
      <c r="AJ3" s="2300"/>
      <c r="AK3" s="1314" t="s">
        <v>530</v>
      </c>
      <c r="AM3" s="1680"/>
      <c r="AN3" s="1680" t="str">
        <f>IF(T3="","",T3)</f>
        <v>Территория действия тарифа</v>
      </c>
      <c r="AO3" s="1680"/>
      <c r="AP3" s="1680"/>
      <c r="AQ3" s="1687">
        <v>0</v>
      </c>
    </row>
    <row customHeight="1" ht="22.5" hidden="1">
      <c r="A4" s="1323"/>
      <c r="B4" s="1323"/>
      <c r="C4" s="1323"/>
      <c r="D4" s="1323"/>
      <c r="E4" s="2346"/>
      <c r="F4" s="2346"/>
      <c r="G4" s="2345">
        <v>1</v>
      </c>
      <c r="H4" s="1323"/>
      <c r="I4" s="1323"/>
      <c r="J4" s="1323"/>
      <c r="K4" s="1323"/>
      <c r="L4" s="1366"/>
      <c r="M4" s="1666"/>
      <c r="N4" s="1666"/>
      <c r="O4" s="1666"/>
      <c r="P4" s="1468"/>
      <c r="Q4" s="1467"/>
      <c r="R4" s="409"/>
      <c r="S4" s="2014">
        <f>INDEX(PT_DIFFERENTIATION_NUM_CS,MATCH(C4,PT_DIFFERENTIATION_CS_ID,0))</f>
      </c>
      <c r="T4" s="365" t="s">
        <v>531</v>
      </c>
      <c r="U4" s="356"/>
      <c r="V4" s="2299"/>
      <c r="W4" s="2299"/>
      <c r="X4" s="2299"/>
      <c r="Y4" s="2299"/>
      <c r="Z4" s="2299"/>
      <c r="AA4" s="2300"/>
      <c r="AB4" s="2008"/>
      <c r="AC4" s="2299">
        <f>INDEX(PT_DIFFERENTIATION_CS,MATCH(C4,PT_DIFFERENTIATION_CS_ID,0))</f>
      </c>
      <c r="AD4" s="2299"/>
      <c r="AE4" s="2299"/>
      <c r="AF4" s="2299"/>
      <c r="AG4" s="2299"/>
      <c r="AH4" s="2299"/>
      <c r="AI4" s="2299"/>
      <c r="AJ4" s="2300"/>
      <c r="AK4" s="1314" t="s">
        <v>532</v>
      </c>
      <c r="AM4" s="1680"/>
      <c r="AN4" s="1680" t="str">
        <f>IF(T4="","",T4)</f>
        <v>Наименование системы теплоснабжения </v>
      </c>
      <c r="AO4" s="1680"/>
      <c r="AP4" s="1680"/>
      <c r="AQ4" s="1687">
        <v>0</v>
      </c>
    </row>
    <row customHeight="1" ht="21" hidden="1">
      <c r="A5" s="1323"/>
      <c r="B5" s="1323"/>
      <c r="C5" s="1323"/>
      <c r="D5" s="1323"/>
      <c r="E5" s="2346"/>
      <c r="F5" s="2346"/>
      <c r="G5" s="2346"/>
      <c r="H5" s="2345">
        <v>1</v>
      </c>
      <c r="I5" s="1323"/>
      <c r="J5" s="1323"/>
      <c r="K5" s="1323"/>
      <c r="L5" s="1366"/>
      <c r="M5" s="1666"/>
      <c r="N5" s="1666"/>
      <c r="O5" s="1666"/>
      <c r="P5" s="1468"/>
      <c r="Q5" s="1467"/>
      <c r="R5" s="409"/>
      <c r="S5" s="2014">
        <f>INDEX(PT_DIFFERENTIATION_NUM_IST_TE,MATCH(D5,PT_DIFFERENTIATION_IST_TE_ID,0))</f>
      </c>
      <c r="T5" s="366" t="s">
        <v>533</v>
      </c>
      <c r="U5" s="356"/>
      <c r="V5" s="2299"/>
      <c r="W5" s="2299"/>
      <c r="X5" s="2299"/>
      <c r="Y5" s="2299"/>
      <c r="Z5" s="2299"/>
      <c r="AA5" s="2300"/>
      <c r="AB5" s="2008"/>
      <c r="AC5" s="2299">
        <f>INDEX(PT_DIFFERENTIATION_IST_TE,MATCH(D5,PT_DIFFERENTIATION_IST_TE_ID,0))</f>
      </c>
      <c r="AD5" s="2299"/>
      <c r="AE5" s="2299"/>
      <c r="AF5" s="2299"/>
      <c r="AG5" s="2299"/>
      <c r="AH5" s="2299"/>
      <c r="AI5" s="2299"/>
      <c r="AJ5" s="2300"/>
      <c r="AK5" s="1314" t="s">
        <v>534</v>
      </c>
      <c r="AM5" s="1680"/>
      <c r="AN5" s="1680" t="str">
        <f>IF(T5="","",T5)</f>
        <v>Источник тепловой энергии  </v>
      </c>
      <c r="AO5" s="1680"/>
      <c r="AP5" s="1680"/>
      <c r="AQ5" s="1687">
        <v>0</v>
      </c>
    </row>
    <row s="2851" customFormat="1" customHeight="1" ht="0.75" hidden="1">
      <c r="A6" s="1431"/>
      <c r="B6" s="1431"/>
      <c r="C6" s="1431"/>
      <c r="D6" s="1431"/>
      <c r="E6" s="2346"/>
      <c r="F6" s="2346"/>
      <c r="G6" s="2346"/>
      <c r="H6" s="2346"/>
      <c r="I6" s="2183">
        <f>S5&amp;".1"</f>
      </c>
      <c r="J6" s="1431"/>
      <c r="K6" s="1431"/>
      <c r="L6" s="1437" t="s">
        <v>535</v>
      </c>
      <c r="M6" s="1302"/>
      <c r="N6" s="1302"/>
      <c r="O6" s="1302"/>
      <c r="P6" s="2313">
        <v>1</v>
      </c>
      <c r="Q6" s="2010"/>
      <c r="R6" s="412"/>
      <c r="S6" s="1098"/>
      <c r="T6" s="1439"/>
      <c r="U6" s="1440"/>
      <c r="V6" s="2353"/>
      <c r="W6" s="2353"/>
      <c r="X6" s="2353"/>
      <c r="Y6" s="2353"/>
      <c r="Z6" s="2353"/>
      <c r="AA6" s="2354"/>
      <c r="AB6" s="2016"/>
      <c r="AC6" s="2353"/>
      <c r="AD6" s="2353"/>
      <c r="AE6" s="2353"/>
      <c r="AF6" s="2353"/>
      <c r="AG6" s="2353"/>
      <c r="AH6" s="2353"/>
      <c r="AI6" s="2353"/>
      <c r="AJ6" s="2354"/>
      <c r="AK6" s="1441"/>
      <c r="AM6" s="1680"/>
      <c r="AN6" s="1680" t="str">
        <f>IF(T6="","",T6)</f>
        <v/>
      </c>
      <c r="AO6" s="1680"/>
      <c r="AP6" s="1680"/>
      <c r="AQ6" s="1692">
        <v>0</v>
      </c>
    </row>
    <row s="2851" customFormat="1" customHeight="1" ht="0.75" hidden="1">
      <c r="A7" s="1431"/>
      <c r="B7" s="1431"/>
      <c r="C7" s="1431"/>
      <c r="D7" s="1431"/>
      <c r="E7" s="2346"/>
      <c r="F7" s="2346"/>
      <c r="G7" s="2346"/>
      <c r="H7" s="2346"/>
      <c r="I7" s="2157"/>
      <c r="J7" s="2183">
        <f>S5&amp;".1"</f>
      </c>
      <c r="K7" s="1431"/>
      <c r="L7" s="1437"/>
      <c r="M7" s="1302"/>
      <c r="N7" s="1302"/>
      <c r="O7" s="1302"/>
      <c r="P7" s="2313"/>
      <c r="Q7" s="2313">
        <v>1</v>
      </c>
      <c r="R7" s="413"/>
      <c r="S7" s="1098"/>
      <c r="T7" s="1455"/>
      <c r="U7" s="1440"/>
      <c r="V7" s="2353"/>
      <c r="W7" s="2353"/>
      <c r="X7" s="2353"/>
      <c r="Y7" s="2353"/>
      <c r="Z7" s="2353"/>
      <c r="AA7" s="2354"/>
      <c r="AB7" s="2016"/>
      <c r="AC7" s="2353"/>
      <c r="AD7" s="2353"/>
      <c r="AE7" s="2353"/>
      <c r="AF7" s="2353"/>
      <c r="AG7" s="2353"/>
      <c r="AH7" s="2353"/>
      <c r="AI7" s="2353"/>
      <c r="AJ7" s="2354"/>
      <c r="AK7" s="1441"/>
      <c r="AM7" s="1680"/>
      <c r="AN7" s="1680" t="str">
        <f>IF(T7="","",T7)</f>
        <v/>
      </c>
      <c r="AO7" s="1680"/>
      <c r="AP7" s="1680"/>
      <c r="AQ7" s="1692">
        <v>0</v>
      </c>
    </row>
    <row customHeight="1" ht="21" hidden="1">
      <c r="A8" s="1323"/>
      <c r="B8" s="1323"/>
      <c r="C8" s="1323"/>
      <c r="D8" s="1323"/>
      <c r="E8" s="2346"/>
      <c r="F8" s="2346"/>
      <c r="G8" s="2346"/>
      <c r="H8" s="2346"/>
      <c r="I8" s="2157"/>
      <c r="J8" s="2157"/>
      <c r="K8" s="2047">
        <f>S5&amp;".1"</f>
      </c>
      <c r="L8" s="1366"/>
      <c r="P8" s="2313"/>
      <c r="Q8" s="2313"/>
      <c r="R8" s="2051">
        <v>1</v>
      </c>
      <c r="S8" s="2049">
        <f>$K8</f>
      </c>
      <c r="T8" s="2050"/>
      <c r="U8" s="356"/>
      <c r="V8" s="807"/>
      <c r="W8" s="1313"/>
      <c r="X8" s="2048"/>
      <c r="Y8" s="2046" t="s">
        <v>65</v>
      </c>
      <c r="Z8" s="2048"/>
      <c r="AA8" s="2046" t="s">
        <v>65</v>
      </c>
      <c r="AB8" s="2052"/>
      <c r="AC8" s="2053" t="s">
        <v>28</v>
      </c>
      <c r="AD8" s="807"/>
      <c r="AE8" s="1313"/>
      <c r="AF8" s="2011"/>
      <c r="AG8" s="1998" t="s">
        <v>65</v>
      </c>
      <c r="AH8" s="2011"/>
      <c r="AI8" s="1998" t="s">
        <v>65</v>
      </c>
      <c r="AJ8" s="1404"/>
      <c r="AK8" s="2309" t="s">
        <v>593</v>
      </c>
      <c r="AL8" s="1692">
        <f>STRCHECKDATE(#REF!)</f>
      </c>
      <c r="AM8" s="1680"/>
      <c r="AN8" s="1680" t="str">
        <f>IF(T8="","",T8)</f>
        <v/>
      </c>
      <c r="AO8" s="1680"/>
      <c r="AP8" s="1680"/>
      <c r="AQ8" s="1687">
        <v>0</v>
      </c>
    </row>
    <row customHeight="1" ht="11.25" hidden="1">
      <c r="A9" s="1323"/>
      <c r="B9" s="1323"/>
      <c r="C9" s="1323"/>
      <c r="D9" s="1323"/>
      <c r="E9" s="2346"/>
      <c r="F9" s="2346"/>
      <c r="G9" s="2346"/>
      <c r="H9" s="2346"/>
      <c r="I9" s="2157"/>
      <c r="J9" s="2183"/>
      <c r="K9" s="1323"/>
      <c r="L9" s="1366"/>
      <c r="P9" s="2313"/>
      <c r="Q9" s="2313"/>
      <c r="R9" s="412"/>
      <c r="S9" s="1334"/>
      <c r="T9" s="343" t="s">
        <v>597</v>
      </c>
      <c r="U9" s="656"/>
      <c r="V9" s="656"/>
      <c r="W9" s="656"/>
      <c r="X9" s="656"/>
      <c r="Y9" s="656"/>
      <c r="Z9" s="656"/>
      <c r="AA9" s="656"/>
      <c r="AB9" s="656"/>
      <c r="AC9" s="656"/>
      <c r="AD9" s="656"/>
      <c r="AE9" s="656"/>
      <c r="AF9" s="656"/>
      <c r="AG9" s="656"/>
      <c r="AH9" s="656"/>
      <c r="AI9" s="656"/>
      <c r="AJ9" s="380"/>
      <c r="AK9" s="2311"/>
      <c r="AM9" s="1680"/>
      <c r="AN9" s="1680" t="str">
        <f>IF(T9="","",T9)</f>
        <v>Добавить строку</v>
      </c>
      <c r="AO9" s="1680"/>
      <c r="AP9" s="1680"/>
      <c r="AQ9" s="1687">
        <v>0</v>
      </c>
    </row>
    <row s="2851" customFormat="1" customHeight="1" ht="0.75" hidden="1">
      <c r="A10" s="1431"/>
      <c r="B10" s="1431"/>
      <c r="C10" s="1431"/>
      <c r="D10" s="1431"/>
      <c r="E10" s="2346"/>
      <c r="F10" s="2346"/>
      <c r="G10" s="2346"/>
      <c r="H10" s="2346"/>
      <c r="I10" s="2183"/>
      <c r="J10" s="1431"/>
      <c r="K10" s="1431"/>
      <c r="L10" s="1437"/>
      <c r="M10" s="1302"/>
      <c r="N10" s="1302"/>
      <c r="O10" s="1302"/>
      <c r="P10" s="2313"/>
      <c r="Q10" s="2010"/>
      <c r="R10" s="412"/>
      <c r="S10" s="1442"/>
      <c r="T10" s="1443"/>
      <c r="U10" s="1444"/>
      <c r="V10" s="1444"/>
      <c r="W10" s="1444"/>
      <c r="X10" s="1444"/>
      <c r="Y10" s="1444"/>
      <c r="Z10" s="1444"/>
      <c r="AA10" s="1444"/>
      <c r="AB10" s="1444"/>
      <c r="AC10" s="1444"/>
      <c r="AD10" s="1444"/>
      <c r="AE10" s="1444"/>
      <c r="AF10" s="1444"/>
      <c r="AG10" s="1444"/>
      <c r="AH10" s="1444"/>
      <c r="AI10" s="1444"/>
      <c r="AJ10" s="1444"/>
      <c r="AK10" s="1445"/>
      <c r="AM10" s="1680"/>
      <c r="AN10" s="1680" t="str">
        <f>IF(T10="","",T10)</f>
        <v/>
      </c>
      <c r="AO10" s="1680"/>
      <c r="AP10" s="1680"/>
      <c r="AQ10" s="1692">
        <v>0</v>
      </c>
    </row>
    <row s="2851" customFormat="1" customHeight="1" ht="0.75" hidden="1">
      <c r="A11" s="1431"/>
      <c r="B11" s="1431"/>
      <c r="C11" s="1431"/>
      <c r="D11" s="1431"/>
      <c r="E11" s="2346"/>
      <c r="F11" s="2346"/>
      <c r="G11" s="2346"/>
      <c r="H11" s="2345"/>
      <c r="I11" s="1431"/>
      <c r="J11" s="1431"/>
      <c r="K11" s="1431"/>
      <c r="L11" s="1437"/>
      <c r="M11" s="1434"/>
      <c r="N11" s="1434"/>
      <c r="O11" s="407"/>
      <c r="P11" s="436"/>
      <c r="Q11" s="1400"/>
      <c r="R11" s="1457"/>
      <c r="S11" s="1442"/>
      <c r="T11" s="1443"/>
      <c r="U11" s="1444"/>
      <c r="V11" s="1444"/>
      <c r="W11" s="1444"/>
      <c r="X11" s="1444"/>
      <c r="Y11" s="1444"/>
      <c r="Z11" s="1444"/>
      <c r="AA11" s="1444"/>
      <c r="AB11" s="1444"/>
      <c r="AC11" s="1444"/>
      <c r="AD11" s="1444"/>
      <c r="AE11" s="1444"/>
      <c r="AF11" s="1444"/>
      <c r="AG11" s="1444"/>
      <c r="AH11" s="1444"/>
      <c r="AI11" s="1444"/>
      <c r="AJ11" s="1444"/>
      <c r="AK11" s="1445"/>
      <c r="AM11" s="1680"/>
      <c r="AN11" s="1680" t="str">
        <f>IF(T11="","",T11)</f>
        <v/>
      </c>
      <c r="AO11" s="1680"/>
      <c r="AP11" s="1680"/>
      <c r="AQ11" s="1692">
        <v>0</v>
      </c>
    </row>
    <row s="2851" customFormat="1" customHeight="1" ht="0.75" hidden="1">
      <c r="A12" s="1431"/>
      <c r="B12" s="1431"/>
      <c r="C12" s="1431"/>
      <c r="D12" s="1430"/>
      <c r="E12" s="2346"/>
      <c r="F12" s="2346"/>
      <c r="G12" s="2345"/>
      <c r="H12" s="1430"/>
      <c r="I12" s="1430"/>
      <c r="J12" s="1430"/>
      <c r="K12" s="1430"/>
      <c r="L12" s="1433"/>
      <c r="M12" s="1434"/>
      <c r="N12" s="1434"/>
      <c r="O12" s="407"/>
      <c r="P12" s="1372"/>
      <c r="Q12" s="1373"/>
      <c r="R12" s="1372"/>
      <c r="S12" s="1378"/>
      <c r="T12" s="1381" t="s">
        <v>546</v>
      </c>
      <c r="U12" s="1380"/>
      <c r="V12" s="1380"/>
      <c r="W12" s="1380"/>
      <c r="X12" s="1380"/>
      <c r="Y12" s="1380"/>
      <c r="Z12" s="1380"/>
      <c r="AA12" s="1380"/>
      <c r="AB12" s="1380"/>
      <c r="AC12" s="1380"/>
      <c r="AD12" s="1380"/>
      <c r="AE12" s="1380"/>
      <c r="AF12" s="1380"/>
      <c r="AG12" s="1380"/>
      <c r="AH12" s="1380"/>
      <c r="AI12" s="1380"/>
      <c r="AJ12" s="1380"/>
      <c r="AK12" s="1380"/>
      <c r="AM12" s="1307"/>
      <c r="AN12" s="1307" t="str">
        <f>IF(T12="","",T12)</f>
        <v>Добавить источник для дифференциации</v>
      </c>
      <c r="AO12" s="1307"/>
      <c r="AP12" s="1307"/>
      <c r="AQ12" s="1698">
        <v>0</v>
      </c>
    </row>
    <row s="2851" customFormat="1" customHeight="1" ht="0.75" hidden="1">
      <c r="A13" s="1431"/>
      <c r="B13" s="1431"/>
      <c r="C13" s="1430"/>
      <c r="D13" s="1430"/>
      <c r="E13" s="2346"/>
      <c r="F13" s="2345"/>
      <c r="G13" s="1430"/>
      <c r="H13" s="1430"/>
      <c r="I13" s="1430"/>
      <c r="J13" s="1430"/>
      <c r="K13" s="1430"/>
      <c r="L13" s="1433"/>
      <c r="M13" s="1435"/>
      <c r="N13" s="1435"/>
      <c r="O13" s="407"/>
      <c r="P13" s="1372"/>
      <c r="Q13" s="1373"/>
      <c r="R13" s="1372"/>
      <c r="S13" s="1378"/>
      <c r="T13" s="1381" t="s">
        <v>302</v>
      </c>
      <c r="U13" s="1380"/>
      <c r="V13" s="1380"/>
      <c r="W13" s="1380"/>
      <c r="X13" s="1380"/>
      <c r="Y13" s="1380"/>
      <c r="Z13" s="1380"/>
      <c r="AA13" s="1380"/>
      <c r="AB13" s="1380"/>
      <c r="AC13" s="1380"/>
      <c r="AD13" s="1380"/>
      <c r="AE13" s="1380"/>
      <c r="AF13" s="1380"/>
      <c r="AG13" s="1380"/>
      <c r="AH13" s="1380"/>
      <c r="AI13" s="1380"/>
      <c r="AJ13" s="1380"/>
      <c r="AK13" s="1380"/>
      <c r="AM13" s="1307"/>
      <c r="AN13" s="1307" t="str">
        <f>IF(T13="","",T13)</f>
        <v>Добавить централизованную систему для дифференциации</v>
      </c>
      <c r="AO13" s="1307"/>
      <c r="AP13" s="1307"/>
      <c r="AQ13" s="1698">
        <v>0</v>
      </c>
    </row>
    <row s="2851" customFormat="1" customHeight="1" ht="0.75" hidden="1">
      <c r="A14" s="1431"/>
      <c r="B14" s="1431"/>
      <c r="C14" s="1431"/>
      <c r="D14" s="1431"/>
      <c r="E14" s="2345"/>
      <c r="F14" s="1431"/>
      <c r="G14" s="1431"/>
      <c r="H14" s="1431"/>
      <c r="I14" s="1431"/>
      <c r="J14" s="1431"/>
      <c r="K14" s="1431"/>
      <c r="L14" s="1437"/>
      <c r="M14" s="1435"/>
      <c r="N14" s="1435"/>
      <c r="O14" s="407"/>
      <c r="P14" s="436"/>
      <c r="Q14" s="1400"/>
      <c r="R14" s="436"/>
      <c r="S14" s="1378"/>
      <c r="T14" s="1381" t="s">
        <v>359</v>
      </c>
      <c r="U14" s="1380"/>
      <c r="V14" s="1380"/>
      <c r="W14" s="1380"/>
      <c r="X14" s="1380"/>
      <c r="Y14" s="1380"/>
      <c r="Z14" s="1380"/>
      <c r="AA14" s="1380"/>
      <c r="AB14" s="1380"/>
      <c r="AC14" s="1380"/>
      <c r="AD14" s="1380"/>
      <c r="AE14" s="1380"/>
      <c r="AF14" s="1380"/>
      <c r="AG14" s="1380"/>
      <c r="AH14" s="1380"/>
      <c r="AI14" s="1380"/>
      <c r="AJ14" s="1380"/>
      <c r="AK14" s="1380"/>
      <c r="AM14" s="1680"/>
      <c r="AN14" s="1680" t="str">
        <f>IF(T14="","",T14)</f>
        <v>Добавить территорию для дифференциации</v>
      </c>
      <c r="AO14" s="1680"/>
      <c r="AP14" s="1680"/>
      <c r="AQ14" s="1692">
        <v>0</v>
      </c>
    </row>
    <row customHeight="1" ht="14.25" hidden="1">
      <c r="AQ15" s="1687">
        <v>0</v>
      </c>
    </row>
    <row customHeight="1" ht="14.25" hidden="1">
      <c r="AC16" s="1558"/>
      <c r="AD16" s="1459"/>
      <c r="AE16" s="1460"/>
      <c r="AF16" s="1792"/>
      <c r="AG16" s="2022" t="s">
        <v>65</v>
      </c>
      <c r="AH16" s="1792"/>
      <c r="AI16" s="2022" t="s">
        <v>65</v>
      </c>
      <c r="AQ16" s="1687">
        <v>0</v>
      </c>
    </row>
    <row customHeight="1" ht="14.25" hidden="1">
      <c r="AL17" s="1697"/>
      <c r="AM17" s="1697"/>
      <c r="AN17" s="1697"/>
      <c r="AO17" s="1697"/>
      <c r="AP17" s="1697"/>
      <c r="AQ17" s="1687">
        <v>0</v>
      </c>
    </row>
    <row customHeight="1" ht="14.25" hidden="1">
      <c r="O18" s="1401" t="s">
        <v>547</v>
      </c>
      <c r="X18" s="1401"/>
      <c r="Z18" s="1401"/>
      <c r="AF18" s="1401"/>
      <c r="AH18" s="1401"/>
      <c r="AL18" s="1697"/>
      <c r="AM18" s="1697"/>
      <c r="AN18" s="1697"/>
      <c r="AO18" s="1697"/>
      <c r="AP18" s="1697"/>
      <c r="AQ18" s="1687">
        <v>0</v>
      </c>
    </row>
    <row customHeight="1" ht="14.25" hidden="1">
      <c r="AL19" s="1697"/>
      <c r="AM19" s="1697"/>
      <c r="AN19" s="1697"/>
      <c r="AO19" s="1697"/>
      <c r="AP19" s="1697"/>
      <c r="AQ19" s="1687">
        <v>0</v>
      </c>
    </row>
    <row s="3830" customFormat="1" customHeight="1" ht="14.25" hidden="1">
      <c r="A20" s="2027"/>
      <c r="B20" s="2027"/>
      <c r="C20" s="2027"/>
      <c r="D20" s="2027"/>
      <c r="E20" s="2027"/>
      <c r="F20" s="2027"/>
      <c r="G20" s="2027"/>
      <c r="H20" s="2027"/>
      <c r="I20" s="2027"/>
      <c r="J20" s="2027"/>
      <c r="K20" s="2027"/>
      <c r="L20" s="2027"/>
      <c r="M20" s="2028"/>
      <c r="N20" s="2028"/>
      <c r="O20" s="2029" t="s">
        <v>548</v>
      </c>
      <c r="P20" s="1564"/>
      <c r="Q20" s="1566"/>
      <c r="R20" s="1566"/>
      <c r="Y20" s="1563" t="s">
        <v>550</v>
      </c>
      <c r="AA20" s="1563" t="s">
        <v>551</v>
      </c>
      <c r="AC20" s="1563" t="s">
        <v>599</v>
      </c>
      <c r="AG20" s="1563" t="s">
        <v>550</v>
      </c>
      <c r="AI20" s="1563" t="s">
        <v>551</v>
      </c>
      <c r="AL20" s="1567"/>
      <c r="AM20" s="1567"/>
      <c r="AN20" s="1567"/>
      <c r="AO20" s="1567"/>
      <c r="AP20" s="1567"/>
      <c r="AQ20" s="1563">
        <v>0</v>
      </c>
    </row>
    <row customHeight="1" ht="14.25" hidden="1">
      <c r="O21" s="1366"/>
      <c r="AL21" s="1697"/>
      <c r="AM21" s="1697"/>
      <c r="AN21" s="1697"/>
      <c r="AO21" s="1697"/>
      <c r="AP21" s="1697"/>
      <c r="AQ21" s="1687">
        <v>0</v>
      </c>
    </row>
    <row customHeight="1" ht="14.25" hidden="1">
      <c r="O22" s="1366"/>
      <c r="AL22" s="1697"/>
      <c r="AM22" s="1697"/>
      <c r="AN22" s="1697"/>
      <c r="AO22" s="1697"/>
      <c r="AP22" s="1697"/>
      <c r="AQ22" s="1687">
        <v>0</v>
      </c>
    </row>
    <row customHeight="1" ht="14.699999999999998">
      <c r="Q23" s="347"/>
      <c r="R23" s="432"/>
      <c r="S23" s="1331"/>
      <c r="T23" s="513"/>
      <c r="U23" s="513"/>
      <c r="V23" s="1691"/>
      <c r="W23" s="1691"/>
      <c r="X23" s="1691"/>
      <c r="Y23" s="1691"/>
      <c r="Z23" s="1691"/>
      <c r="AA23" s="1691"/>
      <c r="AB23" s="1691"/>
      <c r="AC23" s="1691"/>
      <c r="AD23" s="1691"/>
      <c r="AE23" s="1691"/>
      <c r="AF23" s="1691"/>
      <c r="AG23" s="1691"/>
      <c r="AH23" s="1691"/>
      <c r="AI23" s="1691"/>
      <c r="AQ23" s="1687">
        <v>14</v>
      </c>
    </row>
    <row customHeight="1" ht="39.75">
      <c r="Q24" s="347"/>
      <c r="R24" s="432"/>
      <c r="S24" s="230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04"/>
      <c r="U24" s="2304"/>
      <c r="V24" s="2304"/>
      <c r="W24" s="2304"/>
      <c r="X24" s="2304"/>
      <c r="Y24" s="2304"/>
      <c r="Z24" s="2304"/>
      <c r="AA24" s="2304"/>
      <c r="AB24" s="2304"/>
      <c r="AC24" s="2304"/>
      <c r="AD24" s="2304"/>
      <c r="AE24" s="2304"/>
      <c r="AF24" s="2304"/>
      <c r="AG24" s="2304"/>
      <c r="AH24" s="2304"/>
      <c r="AI24" s="1299"/>
      <c r="AQ24" s="1687">
        <v>38</v>
      </c>
    </row>
    <row customHeight="1" ht="14.699999999999998">
      <c r="Q25" s="347"/>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687">
        <v>14</v>
      </c>
    </row>
    <row customHeight="1" ht="14.25" hidden="1">
      <c r="Q26" s="347"/>
      <c r="R26" s="432"/>
      <c r="S26" s="1331"/>
      <c r="T26" s="513"/>
      <c r="U26" s="513"/>
      <c r="V26" s="378"/>
      <c r="W26" s="378"/>
      <c r="X26" s="378"/>
      <c r="Y26" s="378"/>
      <c r="Z26" s="378"/>
      <c r="AA26" s="378"/>
      <c r="AB26" s="378"/>
      <c r="AC26" s="378"/>
      <c r="AD26" s="378"/>
      <c r="AE26" s="378"/>
      <c r="AF26" s="378"/>
      <c r="AG26" s="378"/>
      <c r="AH26" s="378"/>
      <c r="AI26" s="378"/>
      <c r="AJ26" s="1691"/>
      <c r="AQ26" s="1687">
        <v>0</v>
      </c>
    </row>
    <row s="2983" customFormat="1" customHeight="1" ht="25.5" hidden="1">
      <c r="A27" s="1304"/>
      <c r="B27" s="1304"/>
      <c r="C27" s="1304"/>
      <c r="D27" s="1304"/>
      <c r="E27" s="1304"/>
      <c r="F27" s="1304"/>
      <c r="G27" s="1304"/>
      <c r="H27" s="1304"/>
      <c r="I27" s="1304"/>
      <c r="J27" s="1304"/>
      <c r="K27" s="1304"/>
      <c r="L27" s="1436"/>
      <c r="M27" s="1304"/>
      <c r="N27" s="1304"/>
      <c r="O27" s="1304"/>
      <c r="P27" s="1424"/>
      <c r="Q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1691"/>
      <c r="AB27" s="1691"/>
      <c r="AC27" s="2307"/>
      <c r="AD27" s="2307"/>
      <c r="AE27" s="2307"/>
      <c r="AF27" s="2307"/>
      <c r="AG27" s="2307"/>
      <c r="AH27" s="2307"/>
      <c r="AI27" s="1691"/>
      <c r="AJ27" s="1691"/>
      <c r="AK27" s="336"/>
      <c r="AL27" s="424"/>
      <c r="AM27" s="424"/>
      <c r="AN27" s="424"/>
      <c r="AO27" s="424"/>
      <c r="AP27" s="424"/>
      <c r="AQ27" s="474">
        <v>0</v>
      </c>
    </row>
    <row s="2983" customFormat="1" customHeight="1" ht="18.75" hidden="1">
      <c r="A28" s="1304"/>
      <c r="B28" s="1304"/>
      <c r="C28" s="1304"/>
      <c r="D28" s="1304"/>
      <c r="E28" s="1304"/>
      <c r="F28" s="1304"/>
      <c r="G28" s="1304"/>
      <c r="H28" s="1304"/>
      <c r="I28" s="1304"/>
      <c r="J28" s="1304"/>
      <c r="K28" s="1304"/>
      <c r="L28" s="1436"/>
      <c r="M28" s="1304"/>
      <c r="N28" s="1304"/>
      <c r="O28" s="1304"/>
      <c r="P28" s="1424"/>
      <c r="Q28" s="1424"/>
      <c r="S28" s="2306" t="s">
        <v>553</v>
      </c>
      <c r="T28" s="2306"/>
      <c r="U28" s="1428"/>
      <c r="V28" s="2320" t="str">
        <f>IF(TITLE_DATE_PR_CHANGE="",IF(TITLE_DATE_PR="","",TITLE_DATE_PR),TITLE_DATE_PR_CHANGE)</f>
        <v>45645</v>
      </c>
      <c r="W28" s="2320"/>
      <c r="X28" s="2320"/>
      <c r="Y28" s="2320"/>
      <c r="Z28" s="2320"/>
      <c r="AA28" s="1691"/>
      <c r="AB28" s="1691"/>
      <c r="AC28" s="2320"/>
      <c r="AD28" s="2320"/>
      <c r="AE28" s="2320"/>
      <c r="AF28" s="2320"/>
      <c r="AG28" s="2320"/>
      <c r="AH28" s="2320"/>
      <c r="AI28" s="1691"/>
      <c r="AJ28" s="1691"/>
      <c r="AK28" s="336"/>
      <c r="AL28" s="424"/>
      <c r="AM28" s="424"/>
      <c r="AN28" s="424"/>
      <c r="AO28" s="424"/>
      <c r="AP28" s="424"/>
      <c r="AQ28" s="474">
        <v>0</v>
      </c>
    </row>
    <row s="2983" customFormat="1" customHeight="1" ht="18.75" hidden="1">
      <c r="A29" s="1304"/>
      <c r="B29" s="1304"/>
      <c r="C29" s="1304"/>
      <c r="D29" s="1304"/>
      <c r="E29" s="1304"/>
      <c r="F29" s="1304"/>
      <c r="G29" s="1304"/>
      <c r="H29" s="1304"/>
      <c r="I29" s="1304"/>
      <c r="J29" s="1304"/>
      <c r="K29" s="1304"/>
      <c r="L29" s="1436"/>
      <c r="M29" s="1304"/>
      <c r="N29" s="1304"/>
      <c r="O29" s="1304"/>
      <c r="P29" s="1424"/>
      <c r="Q29" s="1424"/>
      <c r="S29" s="2306" t="s">
        <v>554</v>
      </c>
      <c r="T29" s="2306"/>
      <c r="U29" s="1428"/>
      <c r="V29" s="2307" t="str">
        <f>IF(TITLE_NUMBER_PR_CHANGE="",IF(TITLE_NUMBER_PR="","",TITLE_NUMBER_PR),TITLE_NUMBER_PR_CHANGE)</f>
        <v>208-вод</v>
      </c>
      <c r="W29" s="2307"/>
      <c r="X29" s="2307"/>
      <c r="Y29" s="2307"/>
      <c r="Z29" s="2307"/>
      <c r="AA29" s="1691"/>
      <c r="AB29" s="1691"/>
      <c r="AC29" s="2307"/>
      <c r="AD29" s="2307"/>
      <c r="AE29" s="2307"/>
      <c r="AF29" s="2307"/>
      <c r="AG29" s="2307"/>
      <c r="AH29" s="2307"/>
      <c r="AI29" s="1691"/>
      <c r="AJ29" s="1691"/>
      <c r="AK29" s="336"/>
      <c r="AL29" s="424"/>
      <c r="AM29" s="424"/>
      <c r="AN29" s="424"/>
      <c r="AO29" s="424"/>
      <c r="AP29" s="424"/>
      <c r="AQ29" s="474">
        <v>0</v>
      </c>
    </row>
    <row s="2983" customFormat="1" customHeight="1" ht="18.75" hidden="1">
      <c r="A30" s="1304"/>
      <c r="B30" s="1304"/>
      <c r="C30" s="1304"/>
      <c r="D30" s="1304"/>
      <c r="E30" s="1304"/>
      <c r="F30" s="1304"/>
      <c r="G30" s="1304"/>
      <c r="H30" s="1304"/>
      <c r="I30" s="1304"/>
      <c r="J30" s="1304"/>
      <c r="K30" s="1304"/>
      <c r="L30" s="1436"/>
      <c r="M30" s="1304"/>
      <c r="N30" s="1304"/>
      <c r="O30" s="1304"/>
      <c r="P30" s="1424"/>
      <c r="Q30" s="1424"/>
      <c r="S30" s="2306" t="s">
        <v>44</v>
      </c>
      <c r="T30" s="2306"/>
      <c r="U30" s="1428"/>
      <c r="V30" s="2307" t="str">
        <f>IF(TITLE_IST_PUB_CHANGE="",IF(TITLE_IST_PUB="","",TITLE_IST_PUB),TITLE_IST_PUB_CHANGE)</f>
        <v>Газета "Курская правда" №155 от 26.12.2024 г.</v>
      </c>
      <c r="W30" s="2307"/>
      <c r="X30" s="2307"/>
      <c r="Y30" s="2307"/>
      <c r="Z30" s="2307"/>
      <c r="AA30" s="1691"/>
      <c r="AB30" s="1691"/>
      <c r="AC30" s="2307"/>
      <c r="AD30" s="2307"/>
      <c r="AE30" s="2307"/>
      <c r="AF30" s="2307"/>
      <c r="AG30" s="2307"/>
      <c r="AH30" s="2307"/>
      <c r="AI30" s="1691"/>
      <c r="AJ30" s="1691"/>
      <c r="AK30" s="336"/>
      <c r="AL30" s="424"/>
      <c r="AM30" s="424"/>
      <c r="AN30" s="424"/>
      <c r="AO30" s="424"/>
      <c r="AP30" s="424"/>
      <c r="AQ30" s="474">
        <v>0</v>
      </c>
    </row>
    <row customHeight="1" ht="14.25" hidden="1">
      <c r="Q31" s="347"/>
      <c r="R31" s="432"/>
      <c r="S31" s="1331"/>
      <c r="T31" s="513"/>
      <c r="U31" s="513"/>
      <c r="V31" s="378"/>
      <c r="W31" s="378"/>
      <c r="X31" s="378"/>
      <c r="Y31" s="378"/>
      <c r="Z31" s="378"/>
      <c r="AA31" s="378"/>
      <c r="AB31" s="378"/>
      <c r="AC31" s="378"/>
      <c r="AD31" s="378"/>
      <c r="AE31" s="378"/>
      <c r="AF31" s="378"/>
      <c r="AG31" s="378"/>
      <c r="AH31" s="378"/>
      <c r="AI31" s="378"/>
      <c r="AJ31" s="1691"/>
      <c r="AQ31" s="1687">
        <v>0</v>
      </c>
    </row>
    <row s="2983" customFormat="1" customHeight="1" ht="18.75" hidden="1">
      <c r="A32" s="1304"/>
      <c r="B32" s="1304"/>
      <c r="C32" s="1304"/>
      <c r="D32" s="1304"/>
      <c r="E32" s="1304"/>
      <c r="F32" s="1304"/>
      <c r="G32" s="1304"/>
      <c r="H32" s="1304"/>
      <c r="I32" s="1304"/>
      <c r="J32" s="1304"/>
      <c r="K32" s="1304"/>
      <c r="L32" s="1436"/>
      <c r="M32" s="1304"/>
      <c r="N32" s="1304"/>
      <c r="O32" s="1304"/>
      <c r="P32" s="1424"/>
      <c r="Q32" s="1424"/>
      <c r="S32" s="2306" t="s">
        <v>553</v>
      </c>
      <c r="T32" s="2306"/>
      <c r="U32" s="1428"/>
      <c r="V32" s="2320" t="str">
        <f>IF(TITLE_DATE_PR_CHANGE="",IF(TITLE_DATE_PR="","",TITLE_DATE_PR),TITLE_DATE_PR_CHANGE)</f>
        <v>45645</v>
      </c>
      <c r="W32" s="2320"/>
      <c r="X32" s="2320"/>
      <c r="Y32" s="2320"/>
      <c r="Z32" s="2320"/>
      <c r="AA32" s="1691"/>
      <c r="AB32" s="1691"/>
      <c r="AC32" s="2320"/>
      <c r="AD32" s="2320"/>
      <c r="AE32" s="2320"/>
      <c r="AF32" s="2320"/>
      <c r="AG32" s="2320"/>
      <c r="AH32" s="2320"/>
      <c r="AI32" s="1691"/>
      <c r="AJ32" s="1691"/>
      <c r="AK32" s="336"/>
      <c r="AL32" s="424"/>
      <c r="AM32" s="424"/>
      <c r="AN32" s="424"/>
      <c r="AO32" s="424"/>
      <c r="AP32" s="424"/>
      <c r="AQ32" s="474">
        <v>0</v>
      </c>
    </row>
    <row s="2983" customFormat="1" customHeight="1" ht="18" hidden="1">
      <c r="A33" s="1304"/>
      <c r="B33" s="1304"/>
      <c r="C33" s="1304"/>
      <c r="D33" s="1304"/>
      <c r="E33" s="1304"/>
      <c r="F33" s="1304"/>
      <c r="G33" s="1304"/>
      <c r="H33" s="1304"/>
      <c r="I33" s="1304"/>
      <c r="J33" s="1304"/>
      <c r="K33" s="1304"/>
      <c r="L33" s="1436"/>
      <c r="M33" s="1304"/>
      <c r="N33" s="1304"/>
      <c r="O33" s="1304"/>
      <c r="P33" s="1424"/>
      <c r="Q33" s="1424"/>
      <c r="S33" s="2306" t="s">
        <v>554</v>
      </c>
      <c r="T33" s="2306"/>
      <c r="U33" s="1428"/>
      <c r="V33" s="2307" t="str">
        <f>IF(TITLE_NUMBER_PR_CHANGE="",IF(TITLE_NUMBER_PR="","",TITLE_NUMBER_PR),TITLE_NUMBER_PR_CHANGE)</f>
        <v>208-вод</v>
      </c>
      <c r="W33" s="2307"/>
      <c r="X33" s="2307"/>
      <c r="Y33" s="2307"/>
      <c r="Z33" s="2307"/>
      <c r="AA33" s="1691"/>
      <c r="AB33" s="1691"/>
      <c r="AC33" s="2307"/>
      <c r="AD33" s="2307"/>
      <c r="AE33" s="2307"/>
      <c r="AF33" s="2307"/>
      <c r="AG33" s="2307"/>
      <c r="AH33" s="2307"/>
      <c r="AI33" s="1691"/>
      <c r="AJ33" s="1691"/>
      <c r="AK33" s="336"/>
      <c r="AL33" s="424"/>
      <c r="AM33" s="424"/>
      <c r="AN33" s="424"/>
      <c r="AO33" s="424"/>
      <c r="AP33" s="424"/>
      <c r="AQ33" s="474">
        <v>0</v>
      </c>
    </row>
    <row s="2983" customFormat="1" customHeight="1" ht="1.05">
      <c r="A34" s="1304"/>
      <c r="B34" s="1304"/>
      <c r="C34" s="1304"/>
      <c r="D34" s="1304"/>
      <c r="E34" s="1304"/>
      <c r="F34" s="1304"/>
      <c r="G34" s="1304"/>
      <c r="H34" s="1304"/>
      <c r="I34" s="1304"/>
      <c r="J34" s="1304"/>
      <c r="K34" s="1304"/>
      <c r="L34" s="1436"/>
      <c r="M34" s="1304"/>
      <c r="N34" s="1304"/>
      <c r="O34" s="1304"/>
      <c r="P34" s="1424"/>
      <c r="Q34" s="1424"/>
      <c r="S34" s="1691"/>
      <c r="T34" s="1691"/>
      <c r="U34" s="2026"/>
      <c r="V34" s="1691"/>
      <c r="W34" s="1691"/>
      <c r="X34" s="1691"/>
      <c r="Y34" s="1691"/>
      <c r="Z34" s="1691"/>
      <c r="AA34" s="1698" t="s">
        <v>557</v>
      </c>
      <c r="AB34" s="1698"/>
      <c r="AC34" s="1691"/>
      <c r="AD34" s="1691"/>
      <c r="AE34" s="1691"/>
      <c r="AF34" s="1691"/>
      <c r="AG34" s="1691"/>
      <c r="AH34" s="1691"/>
      <c r="AI34" s="1698" t="s">
        <v>557</v>
      </c>
      <c r="AL34" s="424"/>
      <c r="AM34" s="424"/>
      <c r="AN34" s="424"/>
      <c r="AO34" s="424"/>
      <c r="AP34" s="424"/>
      <c r="AQ34" s="474">
        <v>1</v>
      </c>
    </row>
    <row customHeight="1" ht="14.699999999999998">
      <c r="Q35" s="347"/>
      <c r="R35" s="432"/>
      <c r="S35" s="1331"/>
      <c r="T35" s="513"/>
      <c r="U35" s="1300"/>
      <c r="V35" s="2308"/>
      <c r="W35" s="2308"/>
      <c r="X35" s="2308"/>
      <c r="Y35" s="2308"/>
      <c r="Z35" s="2308"/>
      <c r="AA35" s="2308"/>
      <c r="AB35" s="2013"/>
      <c r="AC35" s="2308"/>
      <c r="AD35" s="2308"/>
      <c r="AE35" s="2308"/>
      <c r="AF35" s="2308"/>
      <c r="AG35" s="2308"/>
      <c r="AH35" s="2308"/>
      <c r="AI35" s="2308"/>
      <c r="AQ35" s="1687">
        <v>14</v>
      </c>
    </row>
    <row customHeight="1" ht="14.699999999999998">
      <c r="Q36" s="347"/>
      <c r="R36" s="432"/>
      <c r="S36" s="2183" t="s">
        <v>432</v>
      </c>
      <c r="T36" s="2183"/>
      <c r="U36" s="2183"/>
      <c r="V36" s="2183"/>
      <c r="W36" s="2183"/>
      <c r="X36" s="2183"/>
      <c r="Y36" s="2183"/>
      <c r="Z36" s="2183"/>
      <c r="AA36" s="2231"/>
      <c r="AB36" s="2231"/>
      <c r="AC36" s="2231"/>
      <c r="AD36" s="2183"/>
      <c r="AE36" s="2183"/>
      <c r="AF36" s="2183"/>
      <c r="AG36" s="2183"/>
      <c r="AH36" s="2183"/>
      <c r="AI36" s="2183"/>
      <c r="AJ36" s="2183"/>
      <c r="AK36" s="2183" t="s">
        <v>433</v>
      </c>
      <c r="AQ36" s="1687">
        <v>14</v>
      </c>
    </row>
    <row customHeight="1" ht="14.699999999999998">
      <c r="Q37" s="347"/>
      <c r="R37" s="432"/>
      <c r="S37" s="2329" t="s">
        <v>92</v>
      </c>
      <c r="T37" s="2265" t="s">
        <v>632</v>
      </c>
      <c r="U37" s="393"/>
      <c r="V37" s="2331"/>
      <c r="W37" s="2331"/>
      <c r="X37" s="2331"/>
      <c r="Y37" s="2331"/>
      <c r="Z37" s="2331"/>
      <c r="AA37" s="2265" t="s">
        <v>560</v>
      </c>
      <c r="AB37" s="2264" t="s">
        <v>633</v>
      </c>
      <c r="AC37" s="2264" t="s">
        <v>603</v>
      </c>
      <c r="AD37" s="2347" t="s">
        <v>559</v>
      </c>
      <c r="AE37" s="2347"/>
      <c r="AF37" s="2331"/>
      <c r="AG37" s="2331"/>
      <c r="AH37" s="2332"/>
      <c r="AI37" s="2333" t="s">
        <v>560</v>
      </c>
      <c r="AJ37" s="2336" t="s">
        <v>562</v>
      </c>
      <c r="AK37" s="2183"/>
      <c r="AQ37" s="1687">
        <v>14</v>
      </c>
    </row>
    <row customHeight="1" ht="35.699999999999996">
      <c r="Q38" s="347"/>
      <c r="R38" s="432"/>
      <c r="S38" s="2329"/>
      <c r="T38" s="2265"/>
      <c r="U38" s="1087"/>
      <c r="V38" s="2159" t="s">
        <v>606</v>
      </c>
      <c r="W38" s="2183"/>
      <c r="X38" s="2350" t="s">
        <v>566</v>
      </c>
      <c r="Y38" s="2369"/>
      <c r="Z38" s="2369"/>
      <c r="AA38" s="2265"/>
      <c r="AB38" s="2264"/>
      <c r="AC38" s="2264"/>
      <c r="AD38" s="2159" t="s">
        <v>606</v>
      </c>
      <c r="AE38" s="2183"/>
      <c r="AF38" s="2369" t="s">
        <v>566</v>
      </c>
      <c r="AG38" s="2369"/>
      <c r="AH38" s="2370"/>
      <c r="AI38" s="2334"/>
      <c r="AJ38" s="2337"/>
      <c r="AK38" s="2183"/>
      <c r="AQ38" s="1687">
        <v>34</v>
      </c>
    </row>
    <row customHeight="1" ht="14.699999999999998">
      <c r="Q39" s="347"/>
      <c r="R39" s="432"/>
      <c r="S39" s="2329"/>
      <c r="T39" s="2265"/>
      <c r="U39" s="1087"/>
      <c r="V39" s="2396" t="str">
        <f>IF($AD$39&lt;&gt;"",$AD$39,"")</f>
        <v/>
      </c>
      <c r="W39" s="2396"/>
      <c r="X39" s="2351"/>
      <c r="Y39" s="2371"/>
      <c r="Z39" s="2371"/>
      <c r="AA39" s="2265"/>
      <c r="AB39" s="2264"/>
      <c r="AC39" s="2264"/>
      <c r="AD39" s="2412"/>
      <c r="AE39" s="2395"/>
      <c r="AF39" s="2371"/>
      <c r="AG39" s="2371"/>
      <c r="AH39" s="2372"/>
      <c r="AI39" s="2334"/>
      <c r="AJ39" s="2337"/>
      <c r="AK39" s="2183"/>
      <c r="AQ39" s="1687">
        <v>14</v>
      </c>
    </row>
    <row customHeight="1" ht="14.699999999999998">
      <c r="A40" s="1322"/>
      <c r="B40" s="1322" t="s">
        <v>214</v>
      </c>
      <c r="C40" s="1322" t="s">
        <v>215</v>
      </c>
      <c r="D40" s="1322" t="s">
        <v>216</v>
      </c>
      <c r="E40" s="1366" t="s">
        <v>567</v>
      </c>
      <c r="F40" s="1366" t="s">
        <v>568</v>
      </c>
      <c r="G40" s="1366" t="s">
        <v>569</v>
      </c>
      <c r="H40" s="1366" t="s">
        <v>570</v>
      </c>
      <c r="I40" s="1366" t="s">
        <v>571</v>
      </c>
      <c r="J40" s="1366" t="s">
        <v>572</v>
      </c>
      <c r="K40" s="1366" t="s">
        <v>573</v>
      </c>
      <c r="L40" s="1366" t="s">
        <v>548</v>
      </c>
      <c r="Q40" s="347"/>
      <c r="R40" s="432"/>
      <c r="S40" s="2329"/>
      <c r="T40" s="2265"/>
      <c r="U40" s="358"/>
      <c r="V40" s="2006" t="s">
        <v>607</v>
      </c>
      <c r="W40" s="2006" t="s">
        <v>608</v>
      </c>
      <c r="X40" s="1994" t="s">
        <v>576</v>
      </c>
      <c r="Y40" s="2326" t="s">
        <v>577</v>
      </c>
      <c r="Z40" s="2376"/>
      <c r="AA40" s="2265"/>
      <c r="AB40" s="2264"/>
      <c r="AC40" s="2264"/>
      <c r="AD40" s="2024" t="s">
        <v>607</v>
      </c>
      <c r="AE40" s="2015" t="s">
        <v>608</v>
      </c>
      <c r="AF40" s="1994" t="s">
        <v>576</v>
      </c>
      <c r="AG40" s="2326" t="s">
        <v>577</v>
      </c>
      <c r="AH40" s="2327"/>
      <c r="AI40" s="2335"/>
      <c r="AJ40" s="2338"/>
      <c r="AK40" s="2183"/>
      <c r="AQ40" s="1687">
        <v>14</v>
      </c>
    </row>
    <row s="3442" customFormat="1" customHeight="1" ht="11.25" hidden="1">
      <c r="A41" s="1322"/>
      <c r="B41" s="1322"/>
      <c r="C41" s="1322"/>
      <c r="D41" s="1322"/>
      <c r="E41" s="1322"/>
      <c r="F41" s="1322"/>
      <c r="G41" s="1322"/>
      <c r="H41" s="1322"/>
      <c r="I41" s="1322"/>
      <c r="J41" s="1322"/>
      <c r="K41" s="1322"/>
      <c r="L41" s="1366"/>
      <c r="M41" s="2021"/>
      <c r="N41" s="2021"/>
      <c r="O41" s="2021"/>
      <c r="P41" s="566"/>
      <c r="Q41" s="1310"/>
      <c r="R41" s="1310">
        <v>1</v>
      </c>
      <c r="S41" s="1333" t="s">
        <v>191</v>
      </c>
      <c r="T41" s="1311" t="s">
        <v>108</v>
      </c>
      <c r="U41" s="1301" t="str">
        <f>OFFSET(U41,0,-1)</f>
        <v>2</v>
      </c>
      <c r="V41" s="2012">
        <f>OFFSET(V41,0,-1)+1</f>
        <v>3</v>
      </c>
      <c r="W41" s="2012">
        <f>OFFSET(W41,0,-1)+1</f>
        <v>4</v>
      </c>
      <c r="X41" s="2012">
        <f>OFFSET(X41,0,-1)+1</f>
        <v>5</v>
      </c>
      <c r="Y41" s="2328">
        <f>OFFSET(Y41,0,-1)+1</f>
        <v>6</v>
      </c>
      <c r="Z41" s="2328"/>
      <c r="AA41" s="1397">
        <f>OFFSET(AA41,0,-2)+1</f>
        <v>7</v>
      </c>
      <c r="AB41" s="1397"/>
      <c r="AC41" s="1397"/>
      <c r="AD41" s="2012">
        <f>OFFSET(AD41,0,-1)+1</f>
        <v>1</v>
      </c>
      <c r="AE41" s="2012">
        <f>OFFSET(AE41,0,-1)+1</f>
        <v>2</v>
      </c>
      <c r="AF41" s="2012">
        <f>OFFSET(AF41,0,-1)+1</f>
        <v>3</v>
      </c>
      <c r="AG41" s="2328">
        <f>OFFSET(AG41,0,-1)+1</f>
        <v>4</v>
      </c>
      <c r="AH41" s="2328"/>
      <c r="AI41" s="2012">
        <f>OFFSET(AI41,0,-2)+1</f>
        <v>5</v>
      </c>
      <c r="AJ41" s="1301">
        <f>OFFSET(AJ41,0,-1)</f>
        <v>5</v>
      </c>
      <c r="AK41" s="2012">
        <f>OFFSET(AK41,0,-1)+1</f>
        <v>6</v>
      </c>
      <c r="AL41" s="1692"/>
      <c r="AM41" s="1692"/>
      <c r="AN41" s="1692"/>
      <c r="AO41" s="1692"/>
      <c r="AP41" s="1692"/>
      <c r="AQ41" s="1697">
        <v>0</v>
      </c>
    </row>
    <row customHeight="1" ht="107.25">
      <c r="A42" s="1323" t="s">
        <v>277</v>
      </c>
      <c r="B42" s="1323"/>
      <c r="C42" s="1323"/>
      <c r="D42" s="1323"/>
      <c r="E42" s="2345">
        <v>1</v>
      </c>
      <c r="F42" s="1323"/>
      <c r="G42" s="1323"/>
      <c r="H42" s="1323"/>
      <c r="I42" s="1323"/>
      <c r="J42" s="1323"/>
      <c r="K42" s="1323"/>
      <c r="L42" s="1366"/>
      <c r="M42" s="1666"/>
      <c r="N42" s="1666"/>
      <c r="O42" s="1666"/>
      <c r="P42" s="1465"/>
      <c r="Q42" s="929"/>
      <c r="R42" s="411"/>
      <c r="S42" s="2014">
        <f>INDEX(PT_DIFFERENTIATION_NUM_NTAR,MATCH(A42,PT_DIFFERENTIATION_NTAR_ID,0))</f>
        <v>0</v>
      </c>
      <c r="T42" s="1581" t="s">
        <v>202</v>
      </c>
      <c r="U42" s="356"/>
      <c r="V42" s="2299"/>
      <c r="W42" s="2299"/>
      <c r="X42" s="2299"/>
      <c r="Y42" s="2299"/>
      <c r="Z42" s="2299"/>
      <c r="AA42" s="2300"/>
      <c r="AB42" s="2008"/>
      <c r="AC42" s="2299" t="str">
        <f>INDEX(PT_DIFFERENTIATION_NTAR,MATCH(A42,PT_DIFFERENTIATION_NTAR_ID,0))</f>
        <v/>
      </c>
      <c r="AD42" s="2299"/>
      <c r="AE42" s="2299"/>
      <c r="AF42" s="2299"/>
      <c r="AG42" s="2299"/>
      <c r="AH42" s="2299"/>
      <c r="AI42" s="2299"/>
      <c r="AJ42" s="2300"/>
      <c r="AK42" s="131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680"/>
      <c r="AN42" s="1680" t="str">
        <f>IF(T42="","",T42)</f>
        <v>Наименование тарифа</v>
      </c>
      <c r="AO42" s="1680"/>
      <c r="AP42" s="1680"/>
      <c r="AQ42" s="1687">
        <v>102</v>
      </c>
    </row>
    <row customHeight="1" ht="22.049999999999997">
      <c r="A43" s="1323" t="s">
        <v>277</v>
      </c>
      <c r="B43" s="1323" t="s">
        <v>278</v>
      </c>
      <c r="C43" s="1323"/>
      <c r="D43" s="1323"/>
      <c r="E43" s="2346"/>
      <c r="F43" s="2345">
        <v>1</v>
      </c>
      <c r="G43" s="1323"/>
      <c r="H43" s="1323"/>
      <c r="I43" s="1323"/>
      <c r="J43" s="1323"/>
      <c r="K43" s="1323"/>
      <c r="L43" s="1366"/>
      <c r="M43" s="1666"/>
      <c r="N43" s="1666"/>
      <c r="O43" s="1666"/>
      <c r="P43" s="2025"/>
      <c r="Q43" s="1467"/>
      <c r="R43" s="409"/>
      <c r="S43" s="2014" t="str">
        <f>INDEX(PT_DIFFERENTIATION_NUM_TER,MATCH(B43,PT_DIFFERENTIATION_TER_ID,0))</f>
        <v>.</v>
      </c>
      <c r="T43" s="1578" t="s">
        <v>529</v>
      </c>
      <c r="U43" s="356"/>
      <c r="V43" s="2299"/>
      <c r="W43" s="2299"/>
      <c r="X43" s="2299"/>
      <c r="Y43" s="2299"/>
      <c r="Z43" s="2299"/>
      <c r="AA43" s="2300"/>
      <c r="AB43" s="2008"/>
      <c r="AC43" s="2299" t="str">
        <f>INDEX(PT_DIFFERENTIATION_TER,MATCH(B43,PT_DIFFERENTIATION_TER_ID,0))</f>
        <v/>
      </c>
      <c r="AD43" s="2299"/>
      <c r="AE43" s="2299"/>
      <c r="AF43" s="2299"/>
      <c r="AG43" s="2299"/>
      <c r="AH43" s="2299"/>
      <c r="AI43" s="2299"/>
      <c r="AJ43" s="2300"/>
      <c r="AK43" s="1314" t="s">
        <v>530</v>
      </c>
      <c r="AM43" s="1680"/>
      <c r="AN43" s="1680" t="str">
        <f>IF(T43="","",T43)</f>
        <v>Территория действия тарифа</v>
      </c>
      <c r="AO43" s="1680"/>
      <c r="AP43" s="1680"/>
      <c r="AQ43" s="1687">
        <v>21</v>
      </c>
    </row>
    <row customHeight="1" ht="24">
      <c r="A44" s="1323" t="s">
        <v>277</v>
      </c>
      <c r="B44" s="1323" t="s">
        <v>278</v>
      </c>
      <c r="C44" s="1323" t="s">
        <v>279</v>
      </c>
      <c r="D44" s="1323"/>
      <c r="E44" s="2346"/>
      <c r="F44" s="2346"/>
      <c r="G44" s="2345">
        <v>1</v>
      </c>
      <c r="H44" s="1323"/>
      <c r="I44" s="1323"/>
      <c r="J44" s="1323"/>
      <c r="K44" s="1323"/>
      <c r="L44" s="1366"/>
      <c r="M44" s="1666"/>
      <c r="N44" s="1666"/>
      <c r="O44" s="1666"/>
      <c r="P44" s="1468"/>
      <c r="Q44" s="1467"/>
      <c r="R44" s="409"/>
      <c r="S44" s="2014" t="str">
        <f>INDEX(PT_DIFFERENTIATION_NUM_CS,MATCH(C44,PT_DIFFERENTIATION_CS_ID,0))</f>
        <v>..</v>
      </c>
      <c r="T44" s="365" t="s">
        <v>531</v>
      </c>
      <c r="U44" s="356"/>
      <c r="V44" s="2299"/>
      <c r="W44" s="2299"/>
      <c r="X44" s="2299"/>
      <c r="Y44" s="2299"/>
      <c r="Z44" s="2299"/>
      <c r="AA44" s="2300"/>
      <c r="AB44" s="2008"/>
      <c r="AC44" s="2299" t="str">
        <f>INDEX(PT_DIFFERENTIATION_CS,MATCH(C44,PT_DIFFERENTIATION_CS_ID,0))</f>
        <v/>
      </c>
      <c r="AD44" s="2299"/>
      <c r="AE44" s="2299"/>
      <c r="AF44" s="2299"/>
      <c r="AG44" s="2299"/>
      <c r="AH44" s="2299"/>
      <c r="AI44" s="2299"/>
      <c r="AJ44" s="2300"/>
      <c r="AK44" s="1314" t="s">
        <v>532</v>
      </c>
      <c r="AM44" s="1680"/>
      <c r="AN44" s="1680" t="str">
        <f>IF(T44="","",T44)</f>
        <v>Наименование системы теплоснабжения </v>
      </c>
      <c r="AO44" s="1680"/>
      <c r="AP44" s="1680"/>
      <c r="AQ44" s="1687">
        <v>23</v>
      </c>
    </row>
    <row customHeight="1" ht="22.049999999999997">
      <c r="A45" s="1323" t="s">
        <v>277</v>
      </c>
      <c r="B45" s="1323" t="s">
        <v>278</v>
      </c>
      <c r="C45" s="1323" t="s">
        <v>279</v>
      </c>
      <c r="D45" s="1323" t="s">
        <v>280</v>
      </c>
      <c r="E45" s="2346"/>
      <c r="F45" s="2346"/>
      <c r="G45" s="2346"/>
      <c r="H45" s="2345">
        <v>1</v>
      </c>
      <c r="I45" s="1323"/>
      <c r="J45" s="1323"/>
      <c r="K45" s="1323"/>
      <c r="L45" s="1366"/>
      <c r="M45" s="1666"/>
      <c r="N45" s="1666"/>
      <c r="O45" s="1666"/>
      <c r="P45" s="1468"/>
      <c r="Q45" s="1467"/>
      <c r="R45" s="409"/>
      <c r="S45" s="2014" t="str">
        <f>INDEX(PT_DIFFERENTIATION_NUM_IST_TE,MATCH(D45,PT_DIFFERENTIATION_IST_TE_ID,0))</f>
        <v>...</v>
      </c>
      <c r="T45" s="366" t="s">
        <v>533</v>
      </c>
      <c r="U45" s="356"/>
      <c r="V45" s="2299"/>
      <c r="W45" s="2299"/>
      <c r="X45" s="2299"/>
      <c r="Y45" s="2299"/>
      <c r="Z45" s="2299"/>
      <c r="AA45" s="2300"/>
      <c r="AB45" s="2008"/>
      <c r="AC45" s="2299" t="str">
        <f>INDEX(PT_DIFFERENTIATION_IST_TE,MATCH(D45,PT_DIFFERENTIATION_IST_TE_ID,0))</f>
        <v/>
      </c>
      <c r="AD45" s="2299"/>
      <c r="AE45" s="2299"/>
      <c r="AF45" s="2299"/>
      <c r="AG45" s="2299"/>
      <c r="AH45" s="2299"/>
      <c r="AI45" s="2299"/>
      <c r="AJ45" s="2300"/>
      <c r="AK45" s="1314" t="s">
        <v>534</v>
      </c>
      <c r="AM45" s="1680"/>
      <c r="AN45" s="1680" t="str">
        <f>IF(T45="","",T45)</f>
        <v>Источник тепловой энергии  </v>
      </c>
      <c r="AO45" s="1680"/>
      <c r="AP45" s="1680"/>
      <c r="AQ45" s="1687">
        <v>21</v>
      </c>
    </row>
    <row s="2851" customFormat="1" customHeight="1" ht="0">
      <c r="A46" s="1431" t="s">
        <v>277</v>
      </c>
      <c r="B46" s="1431" t="s">
        <v>278</v>
      </c>
      <c r="C46" s="1431" t="s">
        <v>279</v>
      </c>
      <c r="D46" s="1431" t="s">
        <v>280</v>
      </c>
      <c r="E46" s="2346"/>
      <c r="F46" s="2346"/>
      <c r="G46" s="2346"/>
      <c r="H46" s="2346"/>
      <c r="I46" s="2183" t="str">
        <f>S45&amp;".1"</f>
        <v>....1</v>
      </c>
      <c r="J46" s="1431"/>
      <c r="K46" s="1431"/>
      <c r="L46" s="1437" t="s">
        <v>535</v>
      </c>
      <c r="M46" s="1302"/>
      <c r="N46" s="1302"/>
      <c r="O46" s="1302"/>
      <c r="P46" s="2313">
        <v>1</v>
      </c>
      <c r="Q46" s="2010"/>
      <c r="R46" s="412"/>
      <c r="S46" s="1098"/>
      <c r="T46" s="1439"/>
      <c r="U46" s="1440"/>
      <c r="V46" s="2353"/>
      <c r="W46" s="2353"/>
      <c r="X46" s="2353"/>
      <c r="Y46" s="2353"/>
      <c r="Z46" s="2353"/>
      <c r="AA46" s="2354"/>
      <c r="AB46" s="2016"/>
      <c r="AC46" s="2353"/>
      <c r="AD46" s="2353"/>
      <c r="AE46" s="2353"/>
      <c r="AF46" s="2353"/>
      <c r="AG46" s="2353"/>
      <c r="AH46" s="2353"/>
      <c r="AI46" s="2353"/>
      <c r="AJ46" s="2354"/>
      <c r="AK46" s="1441"/>
      <c r="AM46" s="1680"/>
      <c r="AN46" s="1680" t="str">
        <f>IF(T46="","",T46)</f>
        <v/>
      </c>
      <c r="AO46" s="1680"/>
      <c r="AP46" s="1680"/>
      <c r="AQ46" s="1692">
        <v>0</v>
      </c>
    </row>
    <row s="2851" customFormat="1" customHeight="1" ht="0">
      <c r="A47" s="1431" t="s">
        <v>277</v>
      </c>
      <c r="B47" s="1431" t="s">
        <v>278</v>
      </c>
      <c r="C47" s="1431" t="s">
        <v>279</v>
      </c>
      <c r="D47" s="1431" t="s">
        <v>280</v>
      </c>
      <c r="E47" s="2346"/>
      <c r="F47" s="2346"/>
      <c r="G47" s="2346"/>
      <c r="H47" s="2346"/>
      <c r="I47" s="2157"/>
      <c r="J47" s="2183" t="str">
        <f>S45&amp;".1"</f>
        <v>....1</v>
      </c>
      <c r="K47" s="1431"/>
      <c r="L47" s="1437"/>
      <c r="M47" s="1302"/>
      <c r="N47" s="1302"/>
      <c r="O47" s="1302"/>
      <c r="P47" s="2313"/>
      <c r="Q47" s="2313">
        <v>1</v>
      </c>
      <c r="R47" s="413"/>
      <c r="S47" s="1098"/>
      <c r="T47" s="1455"/>
      <c r="U47" s="1440"/>
      <c r="V47" s="2353"/>
      <c r="W47" s="2353"/>
      <c r="X47" s="2353"/>
      <c r="Y47" s="2353"/>
      <c r="Z47" s="2353"/>
      <c r="AA47" s="2354"/>
      <c r="AB47" s="2016"/>
      <c r="AC47" s="2353"/>
      <c r="AD47" s="2353"/>
      <c r="AE47" s="2353"/>
      <c r="AF47" s="2353"/>
      <c r="AG47" s="2353"/>
      <c r="AH47" s="2353"/>
      <c r="AI47" s="2353"/>
      <c r="AJ47" s="2354"/>
      <c r="AK47" s="1441"/>
      <c r="AM47" s="1680"/>
      <c r="AN47" s="1680" t="str">
        <f>IF(T47="","",T47)</f>
        <v/>
      </c>
      <c r="AO47" s="1680"/>
      <c r="AP47" s="1680"/>
      <c r="AQ47" s="1692">
        <v>0</v>
      </c>
    </row>
    <row customHeight="1" ht="22.049999999999997">
      <c r="A48" s="1323" t="s">
        <v>277</v>
      </c>
      <c r="B48" s="1323" t="s">
        <v>278</v>
      </c>
      <c r="C48" s="1323" t="s">
        <v>279</v>
      </c>
      <c r="D48" s="1323" t="s">
        <v>280</v>
      </c>
      <c r="E48" s="2346"/>
      <c r="F48" s="2346"/>
      <c r="G48" s="2346"/>
      <c r="H48" s="2346"/>
      <c r="I48" s="2157"/>
      <c r="J48" s="2157"/>
      <c r="K48" s="1997" t="str">
        <f>S45&amp;".1"</f>
        <v>....1</v>
      </c>
      <c r="L48" s="1366"/>
      <c r="P48" s="2313"/>
      <c r="Q48" s="2313"/>
      <c r="R48" s="413">
        <v>1</v>
      </c>
      <c r="S48" s="2018" t="str">
        <f>$K48</f>
        <v>....1</v>
      </c>
      <c r="T48" s="2017"/>
      <c r="U48" s="356"/>
      <c r="V48" s="807"/>
      <c r="W48" s="1313"/>
      <c r="X48" s="2011"/>
      <c r="Y48" s="1998" t="s">
        <v>65</v>
      </c>
      <c r="Z48" s="2011"/>
      <c r="AA48" s="1998" t="s">
        <v>65</v>
      </c>
      <c r="AB48" s="2020"/>
      <c r="AC48" s="2019" t="s">
        <v>28</v>
      </c>
      <c r="AD48" s="807"/>
      <c r="AE48" s="1313"/>
      <c r="AF48" s="2011"/>
      <c r="AG48" s="1998" t="s">
        <v>65</v>
      </c>
      <c r="AH48" s="2011"/>
      <c r="AI48" s="1998" t="s">
        <v>65</v>
      </c>
      <c r="AJ48" s="1404"/>
      <c r="AK48" s="2309" t="s">
        <v>609</v>
      </c>
      <c r="AL48" s="1692">
        <f>STRCHECKDATE(#REF!)</f>
      </c>
      <c r="AM48" s="1680"/>
      <c r="AN48" s="1680" t="str">
        <f>IF(T48="","",T48)</f>
        <v/>
      </c>
      <c r="AO48" s="1680"/>
      <c r="AP48" s="1680"/>
      <c r="AQ48" s="1687">
        <v>21</v>
      </c>
    </row>
    <row customHeight="1" ht="11.549999999999999">
      <c r="A49" s="1323" t="s">
        <v>277</v>
      </c>
      <c r="B49" s="1323" t="s">
        <v>278</v>
      </c>
      <c r="C49" s="1323" t="s">
        <v>279</v>
      </c>
      <c r="D49" s="1323" t="s">
        <v>280</v>
      </c>
      <c r="E49" s="2346"/>
      <c r="F49" s="2346"/>
      <c r="G49" s="2346"/>
      <c r="H49" s="2346"/>
      <c r="I49" s="2157"/>
      <c r="J49" s="2183"/>
      <c r="K49" s="1323"/>
      <c r="L49" s="1366"/>
      <c r="P49" s="2313"/>
      <c r="Q49" s="2313"/>
      <c r="R49" s="412"/>
      <c r="S49" s="1334"/>
      <c r="T49" s="343" t="s">
        <v>597</v>
      </c>
      <c r="U49" s="656"/>
      <c r="V49" s="656"/>
      <c r="W49" s="656"/>
      <c r="X49" s="656"/>
      <c r="Y49" s="656"/>
      <c r="Z49" s="656"/>
      <c r="AA49" s="380"/>
      <c r="AB49" s="656"/>
      <c r="AC49" s="656"/>
      <c r="AD49" s="656"/>
      <c r="AE49" s="656"/>
      <c r="AF49" s="656"/>
      <c r="AG49" s="656"/>
      <c r="AH49" s="656"/>
      <c r="AI49" s="656"/>
      <c r="AJ49" s="380"/>
      <c r="AK49" s="2311"/>
      <c r="AM49" s="1680"/>
      <c r="AN49" s="1680" t="str">
        <f>IF(T49="","",T49)</f>
        <v>Добавить строку</v>
      </c>
      <c r="AO49" s="1680"/>
      <c r="AP49" s="1680"/>
      <c r="AQ49" s="1687">
        <v>11</v>
      </c>
    </row>
    <row s="2851" customFormat="1" customHeight="1" ht="1.05">
      <c r="A50" s="1431" t="s">
        <v>277</v>
      </c>
      <c r="B50" s="1431" t="s">
        <v>278</v>
      </c>
      <c r="C50" s="1431" t="s">
        <v>279</v>
      </c>
      <c r="D50" s="1431" t="s">
        <v>280</v>
      </c>
      <c r="E50" s="2346"/>
      <c r="F50" s="2346"/>
      <c r="G50" s="2346"/>
      <c r="H50" s="2346"/>
      <c r="I50" s="2183"/>
      <c r="J50" s="1431"/>
      <c r="K50" s="1431"/>
      <c r="L50" s="1437"/>
      <c r="M50" s="1302"/>
      <c r="N50" s="1302"/>
      <c r="O50" s="1302"/>
      <c r="P50" s="2313"/>
      <c r="Q50" s="2010"/>
      <c r="R50" s="412"/>
      <c r="S50" s="1442"/>
      <c r="T50" s="1443" t="s">
        <v>544</v>
      </c>
      <c r="U50" s="1444"/>
      <c r="V50" s="1444"/>
      <c r="W50" s="1444"/>
      <c r="X50" s="1444"/>
      <c r="Y50" s="1444"/>
      <c r="Z50" s="1444"/>
      <c r="AA50" s="1444"/>
      <c r="AB50" s="1444"/>
      <c r="AC50" s="1444"/>
      <c r="AD50" s="1444"/>
      <c r="AE50" s="1444"/>
      <c r="AF50" s="1444"/>
      <c r="AG50" s="1444"/>
      <c r="AH50" s="1444"/>
      <c r="AI50" s="1444"/>
      <c r="AJ50" s="1444"/>
      <c r="AK50" s="1445"/>
      <c r="AM50" s="1680"/>
      <c r="AN50" s="1680" t="str">
        <f>IF(T50="","",T50)</f>
        <v>Добавить группу потребителей</v>
      </c>
      <c r="AO50" s="1680"/>
      <c r="AP50" s="1680"/>
      <c r="AQ50" s="1692">
        <v>1</v>
      </c>
    </row>
    <row s="3442" customFormat="1" customHeight="1" ht="1.05">
      <c r="A51" s="1431" t="s">
        <v>277</v>
      </c>
      <c r="B51" s="1431" t="s">
        <v>278</v>
      </c>
      <c r="C51" s="1431" t="s">
        <v>279</v>
      </c>
      <c r="D51" s="1431" t="s">
        <v>280</v>
      </c>
      <c r="E51" s="2346"/>
      <c r="F51" s="2346"/>
      <c r="G51" s="2346"/>
      <c r="H51" s="2345"/>
      <c r="I51" s="1431"/>
      <c r="J51" s="1431"/>
      <c r="K51" s="1431"/>
      <c r="L51" s="1437"/>
      <c r="M51" s="1434"/>
      <c r="N51" s="1434"/>
      <c r="O51" s="407"/>
      <c r="P51" s="436"/>
      <c r="Q51" s="1400"/>
      <c r="R51" s="1456"/>
      <c r="S51" s="1442"/>
      <c r="T51" s="1443"/>
      <c r="U51" s="1444"/>
      <c r="V51" s="1444"/>
      <c r="W51" s="1444"/>
      <c r="X51" s="1444"/>
      <c r="Y51" s="1444"/>
      <c r="Z51" s="1444"/>
      <c r="AA51" s="1444"/>
      <c r="AB51" s="1444"/>
      <c r="AC51" s="1444"/>
      <c r="AD51" s="1444"/>
      <c r="AE51" s="1444"/>
      <c r="AF51" s="1444"/>
      <c r="AG51" s="1444"/>
      <c r="AH51" s="1444"/>
      <c r="AI51" s="1444"/>
      <c r="AJ51" s="1444"/>
      <c r="AK51" s="1445"/>
      <c r="AL51" s="1692"/>
      <c r="AM51" s="1680"/>
      <c r="AN51" s="1680" t="str">
        <f>IF(T51="","",T51)</f>
        <v/>
      </c>
      <c r="AO51" s="1680"/>
      <c r="AP51" s="1680"/>
      <c r="AQ51" s="1697">
        <v>1</v>
      </c>
    </row>
    <row s="2851" customFormat="1" customHeight="1" ht="1.05">
      <c r="A52" s="1431" t="s">
        <v>277</v>
      </c>
      <c r="B52" s="1431" t="s">
        <v>278</v>
      </c>
      <c r="C52" s="1431" t="s">
        <v>279</v>
      </c>
      <c r="D52" s="1430"/>
      <c r="E52" s="2346"/>
      <c r="F52" s="2346"/>
      <c r="G52" s="2345"/>
      <c r="H52" s="1430"/>
      <c r="I52" s="1430"/>
      <c r="J52" s="1430"/>
      <c r="K52" s="1430"/>
      <c r="L52" s="1433"/>
      <c r="M52" s="1434"/>
      <c r="N52" s="1434"/>
      <c r="O52" s="407"/>
      <c r="P52" s="1372"/>
      <c r="Q52" s="1373"/>
      <c r="R52" s="1372"/>
      <c r="S52" s="1378"/>
      <c r="T52" s="1381" t="s">
        <v>546</v>
      </c>
      <c r="U52" s="1380"/>
      <c r="V52" s="1380"/>
      <c r="W52" s="1380"/>
      <c r="X52" s="1380"/>
      <c r="Y52" s="1380"/>
      <c r="Z52" s="1380"/>
      <c r="AA52" s="1380"/>
      <c r="AB52" s="1380"/>
      <c r="AC52" s="1380"/>
      <c r="AD52" s="1380"/>
      <c r="AE52" s="1380"/>
      <c r="AF52" s="1380"/>
      <c r="AG52" s="1380"/>
      <c r="AH52" s="1380"/>
      <c r="AI52" s="1380"/>
      <c r="AJ52" s="1380"/>
      <c r="AK52" s="1380"/>
      <c r="AM52" s="1307"/>
      <c r="AN52" s="1307" t="str">
        <f>IF(T52="","",T52)</f>
        <v>Добавить источник для дифференциации</v>
      </c>
      <c r="AO52" s="1307"/>
      <c r="AP52" s="1307"/>
      <c r="AQ52" s="1698">
        <v>1</v>
      </c>
    </row>
    <row s="2851" customFormat="1" customHeight="1" ht="1.05">
      <c r="A53" s="1431" t="s">
        <v>277</v>
      </c>
      <c r="B53" s="1431" t="s">
        <v>278</v>
      </c>
      <c r="C53" s="1430"/>
      <c r="D53" s="1430"/>
      <c r="E53" s="2346"/>
      <c r="F53" s="2345"/>
      <c r="G53" s="1430"/>
      <c r="H53" s="1430"/>
      <c r="I53" s="1430"/>
      <c r="J53" s="1430"/>
      <c r="K53" s="1430"/>
      <c r="L53" s="1433"/>
      <c r="M53" s="1435"/>
      <c r="N53" s="1435"/>
      <c r="O53" s="407"/>
      <c r="P53" s="1372"/>
      <c r="Q53" s="1373"/>
      <c r="R53" s="1372"/>
      <c r="S53" s="1378"/>
      <c r="T53" s="1381" t="s">
        <v>302</v>
      </c>
      <c r="U53" s="1380"/>
      <c r="V53" s="1380"/>
      <c r="W53" s="1380"/>
      <c r="X53" s="1380"/>
      <c r="Y53" s="1380"/>
      <c r="Z53" s="1380"/>
      <c r="AA53" s="1380"/>
      <c r="AB53" s="1380"/>
      <c r="AC53" s="1380"/>
      <c r="AD53" s="1380"/>
      <c r="AE53" s="1380"/>
      <c r="AF53" s="1380"/>
      <c r="AG53" s="1380"/>
      <c r="AH53" s="1380"/>
      <c r="AI53" s="1380"/>
      <c r="AJ53" s="1380"/>
      <c r="AK53" s="1380"/>
      <c r="AM53" s="1307"/>
      <c r="AN53" s="1307" t="str">
        <f>IF(T53="","",T53)</f>
        <v>Добавить централизованную систему для дифференциации</v>
      </c>
      <c r="AO53" s="1307"/>
      <c r="AP53" s="1307"/>
      <c r="AQ53" s="1698">
        <v>1</v>
      </c>
    </row>
    <row s="2851" customFormat="1" customHeight="1" ht="1.05">
      <c r="A54" s="1431" t="s">
        <v>277</v>
      </c>
      <c r="B54" s="1431"/>
      <c r="C54" s="1431"/>
      <c r="D54" s="1431"/>
      <c r="E54" s="2346"/>
      <c r="F54" s="1431"/>
      <c r="G54" s="1431"/>
      <c r="H54" s="1431"/>
      <c r="I54" s="1431"/>
      <c r="J54" s="1431"/>
      <c r="K54" s="1431"/>
      <c r="L54" s="1437"/>
      <c r="M54" s="1435"/>
      <c r="N54" s="1435"/>
      <c r="O54" s="407"/>
      <c r="P54" s="436"/>
      <c r="Q54" s="1400"/>
      <c r="R54" s="436"/>
      <c r="S54" s="1378"/>
      <c r="T54" s="1381" t="s">
        <v>359</v>
      </c>
      <c r="U54" s="1380"/>
      <c r="V54" s="1380"/>
      <c r="W54" s="1380"/>
      <c r="X54" s="1380"/>
      <c r="Y54" s="1380"/>
      <c r="Z54" s="1380"/>
      <c r="AA54" s="1380"/>
      <c r="AB54" s="1380"/>
      <c r="AC54" s="1380"/>
      <c r="AD54" s="1380"/>
      <c r="AE54" s="1380"/>
      <c r="AF54" s="1380"/>
      <c r="AG54" s="1380"/>
      <c r="AH54" s="1380"/>
      <c r="AI54" s="1380"/>
      <c r="AJ54" s="1380"/>
      <c r="AK54" s="1380"/>
      <c r="AM54" s="1680"/>
      <c r="AN54" s="1680" t="str">
        <f>IF(T54="","",T54)</f>
        <v>Добавить территорию для дифференциации</v>
      </c>
      <c r="AO54" s="1680"/>
      <c r="AP54" s="1680"/>
      <c r="AQ54" s="1692">
        <v>1</v>
      </c>
    </row>
    <row s="2851" customFormat="1" customHeight="1" ht="1.05">
      <c r="A55" s="1431" t="s">
        <v>277</v>
      </c>
      <c r="B55" s="1431"/>
      <c r="C55" s="1431"/>
      <c r="D55" s="1431"/>
      <c r="E55" s="2345"/>
      <c r="F55" s="1431"/>
      <c r="G55" s="1431"/>
      <c r="H55" s="1431"/>
      <c r="I55" s="1431"/>
      <c r="J55" s="1431"/>
      <c r="K55" s="1431"/>
      <c r="L55" s="1437"/>
      <c r="M55" s="1435"/>
      <c r="N55" s="1435"/>
      <c r="O55" s="407"/>
      <c r="P55" s="436"/>
      <c r="Q55" s="1400"/>
      <c r="R55" s="436"/>
      <c r="S55" s="1378"/>
      <c r="T55" s="1381" t="s">
        <v>359</v>
      </c>
      <c r="U55" s="1380"/>
      <c r="V55" s="1380"/>
      <c r="W55" s="1380"/>
      <c r="X55" s="1380"/>
      <c r="Y55" s="1380"/>
      <c r="Z55" s="1380"/>
      <c r="AA55" s="1380"/>
      <c r="AB55" s="1380"/>
      <c r="AC55" s="1380"/>
      <c r="AD55" s="1380"/>
      <c r="AE55" s="1380"/>
      <c r="AF55" s="1380"/>
      <c r="AG55" s="1380"/>
      <c r="AH55" s="1380"/>
      <c r="AI55" s="1380"/>
      <c r="AJ55" s="1380"/>
      <c r="AK55" s="1380"/>
      <c r="AM55" s="1680"/>
      <c r="AN55" s="1680" t="str">
        <f>IF(T55="","",T55)</f>
        <v>Добавить территорию для дифференциации</v>
      </c>
      <c r="AO55" s="1680"/>
      <c r="AP55" s="1680"/>
      <c r="AQ55" s="1692">
        <v>1</v>
      </c>
    </row>
    <row s="2851" customFormat="1" customHeight="1" ht="1.05">
      <c r="A56" s="1430"/>
      <c r="B56" s="1430"/>
      <c r="C56" s="1430"/>
      <c r="D56" s="1430"/>
      <c r="E56" s="1431"/>
      <c r="F56" s="1430"/>
      <c r="G56" s="1430"/>
      <c r="H56" s="1430"/>
      <c r="I56" s="1430"/>
      <c r="J56" s="1430"/>
      <c r="K56" s="1430"/>
      <c r="L56" s="1433"/>
      <c r="M56" s="1435"/>
      <c r="N56" s="1435"/>
      <c r="O56" s="407"/>
      <c r="P56" s="1372"/>
      <c r="Q56" s="1373"/>
      <c r="R56" s="1372"/>
      <c r="S56" s="1378"/>
      <c r="T56" s="1381" t="s">
        <v>360</v>
      </c>
      <c r="U56" s="1380"/>
      <c r="V56" s="1380"/>
      <c r="W56" s="1380"/>
      <c r="X56" s="1380"/>
      <c r="Y56" s="1380"/>
      <c r="Z56" s="1380"/>
      <c r="AA56" s="1380"/>
      <c r="AB56" s="1380"/>
      <c r="AC56" s="1380"/>
      <c r="AD56" s="1380"/>
      <c r="AE56" s="1380"/>
      <c r="AF56" s="1380"/>
      <c r="AG56" s="1380"/>
      <c r="AH56" s="1380"/>
      <c r="AI56" s="1380"/>
      <c r="AJ56" s="1380"/>
      <c r="AK56" s="1380"/>
      <c r="AM56" s="1307"/>
      <c r="AN56" s="1307" t="str">
        <f>IF(T56="","",T56)</f>
        <v>Добавить наименование тарифа</v>
      </c>
      <c r="AO56" s="1307"/>
      <c r="AP56" s="1307"/>
      <c r="AQ56" s="1698">
        <v>1</v>
      </c>
    </row>
    <row customHeight="1" ht="11.549999999999999">
      <c r="M57" s="1687"/>
      <c r="N57" s="1687"/>
      <c r="O57" s="1691"/>
      <c r="P57" s="1422"/>
      <c r="Q57" s="1422"/>
      <c r="R57" s="1687"/>
      <c r="S57" s="1687"/>
      <c r="AL57" s="1687"/>
      <c r="AM57" s="1687"/>
      <c r="AN57" s="1687"/>
      <c r="AO57" s="1687"/>
      <c r="AP57" s="1687"/>
      <c r="AQ57" s="1687">
        <v>11</v>
      </c>
    </row>
    <row customHeight="1" ht="19.95">
      <c r="O58" s="1691"/>
      <c r="S58" s="1309"/>
      <c r="T58" s="2341"/>
      <c r="U58" s="2341"/>
      <c r="V58" s="2341"/>
      <c r="W58" s="2341"/>
      <c r="X58" s="2341"/>
      <c r="Y58" s="2341"/>
      <c r="Z58" s="2341"/>
      <c r="AA58" s="2341"/>
      <c r="AB58" s="2341"/>
      <c r="AC58" s="2341"/>
      <c r="AD58" s="2341"/>
      <c r="AE58" s="2341"/>
      <c r="AF58" s="2341"/>
      <c r="AG58" s="2341"/>
      <c r="AH58" s="2341"/>
      <c r="AI58" s="2341"/>
      <c r="AJ58" s="2341"/>
      <c r="AK58" s="2341"/>
      <c r="AQ58" s="1687">
        <v>19</v>
      </c>
    </row>
    <row customHeight="1" ht="21">
      <c r="O59" s="1691"/>
      <c r="T59" s="2341"/>
      <c r="U59" s="2341"/>
      <c r="V59" s="2341"/>
      <c r="W59" s="2341"/>
      <c r="X59" s="2341"/>
      <c r="Y59" s="2341"/>
      <c r="Z59" s="2341"/>
      <c r="AA59" s="2341"/>
      <c r="AB59" s="2341"/>
      <c r="AC59" s="2341"/>
      <c r="AD59" s="2341"/>
      <c r="AE59" s="2341"/>
      <c r="AF59" s="2341"/>
      <c r="AG59" s="2341"/>
      <c r="AH59" s="2341"/>
      <c r="AI59" s="2341"/>
      <c r="AJ59" s="2341"/>
      <c r="AK59" s="2341"/>
      <c r="AQ59" s="1687">
        <v>20</v>
      </c>
    </row>
    <row customHeight="1" ht="14.699999999999998">
      <c r="O60" s="1691"/>
      <c r="T60" s="2009"/>
      <c r="U60" s="2009"/>
      <c r="V60" s="2009"/>
      <c r="W60" s="2009"/>
      <c r="X60" s="2009"/>
      <c r="Y60" s="2009"/>
      <c r="Z60" s="2009"/>
      <c r="AA60" s="2009"/>
      <c r="AB60" s="2009"/>
      <c r="AC60" s="2009"/>
      <c r="AD60" s="2009"/>
      <c r="AE60" s="2009"/>
      <c r="AF60" s="2009"/>
      <c r="AG60" s="2009"/>
      <c r="AH60" s="2009"/>
      <c r="AI60" s="2009"/>
      <c r="AJ60" s="2009"/>
      <c r="AK60" s="2009"/>
      <c r="AQ60" s="1687">
        <v>14</v>
      </c>
    </row>
    <row customHeight="1" ht="19.95">
      <c r="O61" s="1691"/>
      <c r="T61" s="2341"/>
      <c r="U61" s="2341"/>
      <c r="V61" s="2341"/>
      <c r="W61" s="2341"/>
      <c r="X61" s="2341"/>
      <c r="Y61" s="2341"/>
      <c r="Z61" s="2341"/>
      <c r="AA61" s="2341"/>
      <c r="AB61" s="2341"/>
      <c r="AC61" s="2341"/>
      <c r="AD61" s="2341"/>
      <c r="AE61" s="2341"/>
      <c r="AF61" s="2341"/>
      <c r="AG61" s="2341"/>
      <c r="AH61" s="2341"/>
      <c r="AI61" s="2341"/>
      <c r="AJ61" s="2341"/>
      <c r="AK61" s="2341"/>
      <c r="AQ61" s="1687">
        <v>19</v>
      </c>
    </row>
    <row customHeight="1" ht="16.8">
      <c r="O62" s="1691"/>
      <c r="T62" s="2341"/>
      <c r="U62" s="2341"/>
      <c r="V62" s="2341"/>
      <c r="W62" s="2341"/>
      <c r="X62" s="2341"/>
      <c r="Y62" s="2341"/>
      <c r="Z62" s="2341"/>
      <c r="AA62" s="2341"/>
      <c r="AB62" s="2341"/>
      <c r="AC62" s="2341"/>
      <c r="AD62" s="2341"/>
      <c r="AE62" s="2341"/>
      <c r="AF62" s="2341"/>
      <c r="AG62" s="2341"/>
      <c r="AH62" s="2341"/>
      <c r="AI62" s="2341"/>
      <c r="AJ62" s="2341"/>
      <c r="AK62" s="2341"/>
      <c r="AQ62" s="1687">
        <v>16</v>
      </c>
    </row>
    <row customHeight="1" ht="14.699999999999998">
      <c r="O63" s="1691"/>
      <c r="AQ63" s="1687">
        <v>14</v>
      </c>
    </row>
    <row customHeight="1" ht="22.5" hidden="1">
      <c r="A64" s="1687" t="s">
        <v>86</v>
      </c>
      <c r="B64" s="1687">
        <v>0</v>
      </c>
      <c r="C64" s="1687">
        <v>0</v>
      </c>
      <c r="D64" s="1687">
        <v>0</v>
      </c>
      <c r="E64" s="1687">
        <v>0</v>
      </c>
      <c r="F64" s="1687">
        <v>0</v>
      </c>
      <c r="G64" s="1687">
        <v>0</v>
      </c>
      <c r="H64" s="1687">
        <v>0</v>
      </c>
      <c r="I64" s="1687">
        <v>0</v>
      </c>
      <c r="J64" s="1687">
        <v>0</v>
      </c>
      <c r="K64" s="1687">
        <v>0</v>
      </c>
      <c r="L64" s="1995">
        <v>0</v>
      </c>
      <c r="M64" s="2021">
        <v>0</v>
      </c>
      <c r="N64" s="2021">
        <v>0</v>
      </c>
      <c r="O64" s="2021">
        <v>0</v>
      </c>
      <c r="P64" s="1418">
        <v>3</v>
      </c>
      <c r="Q64" s="1427">
        <v>3</v>
      </c>
      <c r="R64" s="400">
        <v>3</v>
      </c>
      <c r="S64" s="637">
        <v>12</v>
      </c>
      <c r="T64" s="1687">
        <v>31</v>
      </c>
      <c r="U64" s="1687">
        <v>0</v>
      </c>
      <c r="V64" s="1687">
        <v>0</v>
      </c>
      <c r="W64" s="1687">
        <v>0</v>
      </c>
      <c r="X64" s="1687">
        <v>0</v>
      </c>
      <c r="Y64" s="1687">
        <v>0</v>
      </c>
      <c r="Z64" s="1687">
        <v>0</v>
      </c>
      <c r="AA64" s="1687">
        <v>0</v>
      </c>
      <c r="AB64" s="1687">
        <v>27</v>
      </c>
      <c r="AC64" s="1687">
        <v>24</v>
      </c>
      <c r="AD64" s="1687">
        <v>21</v>
      </c>
      <c r="AE64" s="1687">
        <v>21</v>
      </c>
      <c r="AF64" s="1687">
        <v>11</v>
      </c>
      <c r="AG64" s="1687">
        <v>3</v>
      </c>
      <c r="AH64" s="1687">
        <v>11</v>
      </c>
      <c r="AI64" s="1687">
        <v>8</v>
      </c>
      <c r="AJ64" s="1687">
        <v>4</v>
      </c>
      <c r="AK64" s="1687">
        <v>115</v>
      </c>
      <c r="AL64" s="1692">
        <v>10</v>
      </c>
      <c r="AM64" s="1692">
        <v>10</v>
      </c>
      <c r="AN64" s="1692">
        <v>10</v>
      </c>
      <c r="AO64" s="1692">
        <v>10</v>
      </c>
      <c r="AP64" s="1692">
        <v>10</v>
      </c>
      <c r="AQ64" s="1687">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D25A845-B4EF-7D1C-221F-9125B2D3EE1C}"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850" width="11.57421875" hidden="1" customWidth="1"/>
    <col min="2" max="2" style="2850" width="11.00390625" hidden="1" customWidth="1"/>
    <col min="3" max="3" style="2850" width="10.57421875" hidden="1"/>
    <col min="4" max="4" style="2850" width="12.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2792" width="3.7109375" hidden="1" customWidth="1"/>
    <col min="17" max="17" style="3602" width="3.7109375" hidden="1" customWidth="1"/>
    <col min="18" max="18" style="3677" width="3.00390625" customWidth="1"/>
    <col min="19" max="19" style="3681" width="12.00390625" customWidth="1"/>
    <col min="20" max="20" style="2774" width="31.00390625" customWidth="1"/>
    <col min="21" max="21" style="2774" width="0.140625" customWidth="1"/>
    <col min="22" max="25" style="2774" width="21.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3.7109375" customWidth="1"/>
    <col min="31" max="32" style="2774" width="3.00390625" customWidth="1"/>
    <col min="33" max="33" style="2774" width="24.00390625" customWidth="1"/>
    <col min="34" max="34" style="2774" width="3.7109375" customWidth="1"/>
    <col min="35" max="36" style="2774" width="3.00390625" customWidth="1"/>
    <col min="37" max="37" style="2774" width="24.00390625" customWidth="1"/>
    <col min="38" max="38" style="2774" width="3.7109375" customWidth="1"/>
    <col min="39" max="40" style="2774" width="3.00390625" customWidth="1"/>
    <col min="41" max="41" style="2774" width="18.00390625" customWidth="1"/>
    <col min="42" max="42" style="2774" width="3.7109375" customWidth="1"/>
    <col min="43" max="44" style="2774" width="3.00390625" customWidth="1"/>
    <col min="45" max="45" style="2774" width="18.00390625" customWidth="1"/>
    <col min="46" max="49" style="2774" width="21.00390625" customWidth="1"/>
    <col min="50" max="50" style="2774" width="11.00390625" customWidth="1"/>
    <col min="51" max="51" style="2774" width="3.7109375" customWidth="1"/>
    <col min="52" max="52" style="2774" width="11.00390625" customWidth="1"/>
    <col min="53" max="53" style="2774" width="8.57421875" hidden="1" customWidth="1"/>
    <col min="54" max="54" style="2774" width="4.00390625" customWidth="1"/>
    <col min="55" max="55" style="2774" width="115.00390625" customWidth="1"/>
    <col min="56" max="60" style="2851" width="10.00390625" customWidth="1"/>
    <col min="61" max="61" style="2774" width="10.57421875" hidden="1"/>
  </cols>
  <sheetData>
    <row customHeight="1" ht="22.5" hidden="1">
      <c r="W1" s="383"/>
      <c r="Y1" s="383"/>
      <c r="Z1" s="383"/>
      <c r="AW1" s="383"/>
      <c r="AX1" s="383"/>
      <c r="BI1" s="1211" t="s">
        <v>14</v>
      </c>
    </row>
    <row customHeight="1" ht="21" hidden="1">
      <c r="A2" s="1419"/>
      <c r="B2" s="1419"/>
      <c r="C2" s="1419"/>
      <c r="D2" s="1419"/>
      <c r="E2" s="2314">
        <v>1</v>
      </c>
      <c r="F2" s="1419"/>
      <c r="G2" s="1419"/>
      <c r="H2" s="1419"/>
      <c r="I2" s="1419"/>
      <c r="J2" s="1419"/>
      <c r="K2" s="1419"/>
      <c r="L2" s="1420"/>
      <c r="M2" s="1421"/>
      <c r="N2" s="1421"/>
      <c r="O2" s="1421"/>
      <c r="P2" s="1465"/>
      <c r="Q2" s="929"/>
      <c r="R2" s="411"/>
      <c r="S2" s="1521">
        <f>INDEX(PT_DIFFERENTIATION_NUM_NTAR,MATCH(A2,PT_DIFFERENTIATION_NTAR_ID,0))</f>
      </c>
      <c r="T2" s="354" t="s">
        <v>202</v>
      </c>
      <c r="U2" s="356"/>
      <c r="V2" s="2299"/>
      <c r="W2" s="2299"/>
      <c r="X2" s="2299"/>
      <c r="Y2" s="2299"/>
      <c r="Z2" s="2299"/>
      <c r="AA2" s="2299"/>
      <c r="AB2" s="2299"/>
      <c r="AC2" s="2300"/>
      <c r="AD2" s="2298">
        <f>INDEX(PT_DIFFERENTIATION_NTAR,MATCH(A2,PT_DIFFERENTIATION_NTAR_ID,0))</f>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56"/>
      <c r="BF2" s="556" t="str">
        <f>IF(T2="","",T2)</f>
        <v>Наименование тарифа</v>
      </c>
      <c r="BG2" s="556"/>
      <c r="BH2" s="556"/>
      <c r="BI2" s="1211">
        <v>0</v>
      </c>
    </row>
    <row customHeight="1" ht="21" hidden="1">
      <c r="A3" s="1419"/>
      <c r="B3" s="1419"/>
      <c r="C3" s="1419"/>
      <c r="D3" s="1419"/>
      <c r="E3" s="2315"/>
      <c r="F3" s="2314">
        <v>1</v>
      </c>
      <c r="G3" s="1419"/>
      <c r="H3" s="1419"/>
      <c r="I3" s="1419"/>
      <c r="J3" s="1419"/>
      <c r="K3" s="1419"/>
      <c r="L3" s="1420"/>
      <c r="M3" s="1421"/>
      <c r="N3" s="1421"/>
      <c r="O3" s="1421"/>
      <c r="P3" s="1466"/>
      <c r="Q3" s="1467"/>
      <c r="R3" s="409"/>
      <c r="S3" s="1521">
        <f>INDEX(PT_DIFFERENTIATION_NUM_TER,MATCH(B3,PT_DIFFERENTIATION_TER_ID,0))</f>
      </c>
      <c r="T3" s="364" t="s">
        <v>529</v>
      </c>
      <c r="U3" s="356"/>
      <c r="V3" s="2299"/>
      <c r="W3" s="2299"/>
      <c r="X3" s="2299"/>
      <c r="Y3" s="2299"/>
      <c r="Z3" s="2299"/>
      <c r="AA3" s="2299"/>
      <c r="AB3" s="2299"/>
      <c r="AC3" s="2300"/>
      <c r="AD3" s="2298">
        <f>INDEX(PT_DIFFERENTIATION_TER,MATCH(B3,PT_DIFFERENTIATION_TER_ID,0))</f>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314" t="s">
        <v>530</v>
      </c>
      <c r="BE3" s="556"/>
      <c r="BF3" s="556" t="str">
        <f>IF(T3="","",T3)</f>
        <v>Территория действия тарифа</v>
      </c>
      <c r="BG3" s="556"/>
      <c r="BH3" s="556"/>
      <c r="BI3" s="1211">
        <v>0</v>
      </c>
    </row>
    <row customHeight="1" ht="42" hidden="1">
      <c r="A4" s="1419"/>
      <c r="B4" s="1419"/>
      <c r="C4" s="1419"/>
      <c r="D4" s="1419"/>
      <c r="E4" s="2315"/>
      <c r="F4" s="2315"/>
      <c r="G4" s="2314">
        <v>1</v>
      </c>
      <c r="H4" s="1419"/>
      <c r="I4" s="1419"/>
      <c r="J4" s="1419"/>
      <c r="K4" s="1419"/>
      <c r="L4" s="1420"/>
      <c r="M4" s="1421"/>
      <c r="N4" s="1421"/>
      <c r="O4" s="1421"/>
      <c r="P4" s="1468"/>
      <c r="Q4" s="1467"/>
      <c r="R4" s="409"/>
      <c r="S4" s="1521">
        <f>INDEX(PT_DIFFERENTIATION_NUM_CS,MATCH(C4,PT_DIFFERENTIATION_CS_ID,0))</f>
      </c>
      <c r="T4" s="365" t="s">
        <v>610</v>
      </c>
      <c r="U4" s="356"/>
      <c r="V4" s="2299"/>
      <c r="W4" s="2299"/>
      <c r="X4" s="2299"/>
      <c r="Y4" s="2299"/>
      <c r="Z4" s="2299"/>
      <c r="AA4" s="2299"/>
      <c r="AB4" s="2299"/>
      <c r="AC4" s="2300"/>
      <c r="AD4" s="2298">
        <f>INDEX(PT_DIFFERENTIATION_CS,MATCH(C4,PT_DIFFERENTIATION_CS_ID,0))</f>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314" t="s">
        <v>611</v>
      </c>
      <c r="BE4" s="556"/>
      <c r="BF4" s="556" t="str">
        <f>IF(T4="","",T4)</f>
        <v>Наименование централизованной системы холодного водоснабжения</v>
      </c>
      <c r="BG4" s="556"/>
      <c r="BH4" s="556"/>
      <c r="BI4" s="1211">
        <v>0</v>
      </c>
    </row>
    <row s="2851" customFormat="1" customHeight="1" ht="14.25" hidden="1">
      <c r="A5" s="1399"/>
      <c r="B5" s="1399"/>
      <c r="C5" s="1399"/>
      <c r="D5" s="1399"/>
      <c r="E5" s="2315"/>
      <c r="F5" s="2315"/>
      <c r="G5" s="2315"/>
      <c r="H5" s="2314">
        <v>1</v>
      </c>
      <c r="I5" s="1399"/>
      <c r="J5" s="1399"/>
      <c r="K5" s="1399"/>
      <c r="L5" s="1402"/>
      <c r="M5" s="1371"/>
      <c r="N5" s="1371"/>
      <c r="O5" s="1371"/>
      <c r="P5" s="1553"/>
      <c r="Q5" s="1554"/>
      <c r="R5" s="413"/>
      <c r="S5" s="1098"/>
      <c r="T5" s="1555"/>
      <c r="U5" s="1440"/>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441" t="s">
        <v>534</v>
      </c>
      <c r="BE5" s="556"/>
      <c r="BF5" s="556" t="str">
        <f>IF(T5="","",T5)</f>
        <v/>
      </c>
      <c r="BG5" s="556"/>
      <c r="BH5" s="556"/>
      <c r="BI5" s="567">
        <v>0</v>
      </c>
    </row>
    <row s="2851" customFormat="1" customHeight="1" ht="14.25" hidden="1">
      <c r="A6" s="1399"/>
      <c r="B6" s="1399"/>
      <c r="C6" s="1399"/>
      <c r="D6" s="1399"/>
      <c r="E6" s="2315"/>
      <c r="F6" s="2315"/>
      <c r="G6" s="2315"/>
      <c r="H6" s="2315"/>
      <c r="I6" s="2312" t="str">
        <f>S5&amp;".1"</f>
        <v>.1</v>
      </c>
      <c r="J6" s="1399"/>
      <c r="K6" s="1399"/>
      <c r="L6" s="1402" t="s">
        <v>535</v>
      </c>
      <c r="M6" s="566"/>
      <c r="N6" s="566"/>
      <c r="O6" s="566"/>
      <c r="P6" s="2313">
        <v>1</v>
      </c>
      <c r="Q6" s="1518"/>
      <c r="R6" s="412"/>
      <c r="S6" s="1098"/>
      <c r="T6" s="1439"/>
      <c r="U6" s="1440"/>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441"/>
      <c r="BE6" s="556"/>
      <c r="BF6" s="556" t="str">
        <f>IF(T6="","",T6)</f>
        <v/>
      </c>
      <c r="BG6" s="556"/>
      <c r="BH6" s="556"/>
      <c r="BI6" s="567">
        <v>0</v>
      </c>
    </row>
    <row s="2851" customFormat="1" customHeight="1" ht="14.25" hidden="1">
      <c r="A7" s="1399"/>
      <c r="B7" s="1399"/>
      <c r="C7" s="1399"/>
      <c r="D7" s="1399"/>
      <c r="E7" s="2315"/>
      <c r="F7" s="2315"/>
      <c r="G7" s="2315"/>
      <c r="H7" s="2315"/>
      <c r="I7" s="2342"/>
      <c r="J7" s="2312" t="str">
        <f>S5&amp;".1"</f>
        <v>.1</v>
      </c>
      <c r="K7" s="1399"/>
      <c r="L7" s="1402"/>
      <c r="M7" s="566"/>
      <c r="N7" s="566"/>
      <c r="O7" s="566"/>
      <c r="P7" s="2313"/>
      <c r="Q7" s="2313">
        <v>1</v>
      </c>
      <c r="R7" s="413"/>
      <c r="S7" s="1098"/>
      <c r="T7" s="1455"/>
      <c r="U7" s="1440"/>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441"/>
      <c r="BE7" s="556"/>
      <c r="BF7" s="556" t="str">
        <f>IF(T7="","",T7)</f>
        <v/>
      </c>
      <c r="BG7" s="556"/>
      <c r="BH7" s="556"/>
      <c r="BI7" s="567">
        <v>0</v>
      </c>
    </row>
    <row customHeight="1" ht="11.25" hidden="1">
      <c r="A8" s="1419"/>
      <c r="B8" s="1419"/>
      <c r="C8" s="1419"/>
      <c r="D8" s="1419"/>
      <c r="E8" s="2315"/>
      <c r="F8" s="2315"/>
      <c r="G8" s="2315"/>
      <c r="H8" s="2315"/>
      <c r="I8" s="2342"/>
      <c r="J8" s="2342"/>
      <c r="K8" s="2312">
        <f>S4&amp;".1"</f>
      </c>
      <c r="L8" s="1420"/>
      <c r="P8" s="2313"/>
      <c r="Q8" s="2313"/>
      <c r="R8" s="2403">
        <v>1</v>
      </c>
      <c r="S8" s="2397">
        <f>$K8</f>
      </c>
      <c r="T8" s="2416"/>
      <c r="U8" s="356"/>
      <c r="V8" s="807"/>
      <c r="W8" s="1313"/>
      <c r="X8" s="807"/>
      <c r="Y8" s="1313"/>
      <c r="Z8" s="1790"/>
      <c r="AA8" s="1515" t="s">
        <v>65</v>
      </c>
      <c r="AB8" s="1790"/>
      <c r="AC8" s="1515" t="s">
        <v>65</v>
      </c>
      <c r="AD8" s="2241" t="s">
        <v>65</v>
      </c>
      <c r="AE8" s="2382"/>
      <c r="AF8" s="2261">
        <v>1</v>
      </c>
      <c r="AG8" s="2419"/>
      <c r="AH8" s="2163" t="s">
        <v>65</v>
      </c>
      <c r="AI8" s="2382"/>
      <c r="AJ8" s="2261">
        <v>1</v>
      </c>
      <c r="AK8" s="2383" t="s">
        <v>28</v>
      </c>
      <c r="AL8" s="2163" t="s">
        <v>65</v>
      </c>
      <c r="AM8" s="2248"/>
      <c r="AN8" s="2261">
        <v>1</v>
      </c>
      <c r="AO8" s="2413"/>
      <c r="AP8" s="2414" t="s">
        <v>65</v>
      </c>
      <c r="AQ8" s="367"/>
      <c r="AR8" s="1519">
        <v>1</v>
      </c>
      <c r="AS8" s="1522" t="s">
        <v>28</v>
      </c>
      <c r="AT8" s="807"/>
      <c r="AU8" s="1313"/>
      <c r="AV8" s="807"/>
      <c r="AW8" s="1313"/>
      <c r="AX8" s="1790"/>
      <c r="AY8" s="1515" t="s">
        <v>65</v>
      </c>
      <c r="AZ8" s="1790"/>
      <c r="BA8" s="1515" t="s">
        <v>65</v>
      </c>
      <c r="BB8" s="1404"/>
      <c r="BC8" s="2309" t="s">
        <v>634</v>
      </c>
      <c r="BE8" s="556"/>
      <c r="BF8" s="556" t="str">
        <f>IF(T8="","",T8)</f>
        <v/>
      </c>
      <c r="BG8" s="556"/>
      <c r="BH8" s="556"/>
      <c r="BI8" s="1211">
        <v>0</v>
      </c>
    </row>
    <row customHeight="1" ht="11.25" hidden="1">
      <c r="A9" s="1419"/>
      <c r="B9" s="1419"/>
      <c r="C9" s="1419"/>
      <c r="D9" s="1419"/>
      <c r="E9" s="2315"/>
      <c r="F9" s="2315"/>
      <c r="G9" s="2315"/>
      <c r="H9" s="2315"/>
      <c r="I9" s="2342"/>
      <c r="J9" s="2342"/>
      <c r="K9" s="2312"/>
      <c r="L9" s="1420"/>
      <c r="P9" s="2313"/>
      <c r="Q9" s="2313"/>
      <c r="R9" s="2403"/>
      <c r="S9" s="2398"/>
      <c r="T9" s="2417"/>
      <c r="U9" s="356"/>
      <c r="V9" s="1449"/>
      <c r="W9" s="1552"/>
      <c r="X9" s="1449"/>
      <c r="Y9" s="1552"/>
      <c r="Z9" s="1449"/>
      <c r="AA9" s="1449"/>
      <c r="AB9" s="1449"/>
      <c r="AC9" s="1449"/>
      <c r="AD9" s="2242"/>
      <c r="AE9" s="2382"/>
      <c r="AF9" s="2261"/>
      <c r="AG9" s="2419"/>
      <c r="AH9" s="2163"/>
      <c r="AI9" s="2382"/>
      <c r="AJ9" s="2261"/>
      <c r="AK9" s="2383"/>
      <c r="AL9" s="2163"/>
      <c r="AM9" s="2256"/>
      <c r="AN9" s="2261"/>
      <c r="AO9" s="2413"/>
      <c r="AP9" s="2415"/>
      <c r="AQ9" s="372"/>
      <c r="AR9" s="472"/>
      <c r="AS9" s="472" t="s">
        <v>635</v>
      </c>
      <c r="AT9" s="1449"/>
      <c r="AU9" s="1552"/>
      <c r="AV9" s="1449"/>
      <c r="AW9" s="1552"/>
      <c r="AX9" s="1449"/>
      <c r="AY9" s="1449"/>
      <c r="AZ9" s="1449"/>
      <c r="BA9" s="1449"/>
      <c r="BB9" s="1453"/>
      <c r="BC9" s="2310"/>
      <c r="BE9" s="556"/>
      <c r="BF9" s="556"/>
      <c r="BG9" s="556"/>
      <c r="BH9" s="556"/>
      <c r="BI9" s="1211">
        <v>0</v>
      </c>
    </row>
    <row customHeight="1" ht="11.25" hidden="1">
      <c r="A10" s="1419"/>
      <c r="B10" s="1419"/>
      <c r="C10" s="1419"/>
      <c r="D10" s="1419"/>
      <c r="E10" s="2315"/>
      <c r="F10" s="2315"/>
      <c r="G10" s="2315"/>
      <c r="H10" s="2315"/>
      <c r="I10" s="2342"/>
      <c r="J10" s="2342"/>
      <c r="K10" s="2312"/>
      <c r="L10" s="1420"/>
      <c r="P10" s="2313"/>
      <c r="Q10" s="2313"/>
      <c r="R10" s="2403"/>
      <c r="S10" s="2398"/>
      <c r="T10" s="2417"/>
      <c r="U10" s="356"/>
      <c r="V10" s="1449"/>
      <c r="W10" s="1552"/>
      <c r="X10" s="1449"/>
      <c r="Y10" s="1552"/>
      <c r="Z10" s="1449"/>
      <c r="AA10" s="1449"/>
      <c r="AB10" s="1449"/>
      <c r="AC10" s="1449"/>
      <c r="AD10" s="2242"/>
      <c r="AE10" s="2382"/>
      <c r="AF10" s="2261"/>
      <c r="AG10" s="2419"/>
      <c r="AH10" s="2163"/>
      <c r="AI10" s="2382"/>
      <c r="AJ10" s="2261"/>
      <c r="AK10" s="2383"/>
      <c r="AL10" s="2163"/>
      <c r="AM10" s="372"/>
      <c r="AN10" s="1556"/>
      <c r="AO10" s="1556" t="s">
        <v>636</v>
      </c>
      <c r="AP10" s="472"/>
      <c r="AQ10" s="472"/>
      <c r="AR10" s="472"/>
      <c r="AS10" s="1449"/>
      <c r="AT10" s="1449"/>
      <c r="AU10" s="1552"/>
      <c r="AV10" s="1449"/>
      <c r="AW10" s="1552"/>
      <c r="AX10" s="1449"/>
      <c r="AY10" s="1449"/>
      <c r="AZ10" s="1449"/>
      <c r="BA10" s="1449"/>
      <c r="BB10" s="1453"/>
      <c r="BC10" s="2310"/>
      <c r="BE10" s="556"/>
      <c r="BF10" s="556"/>
      <c r="BG10" s="556"/>
      <c r="BH10" s="556"/>
      <c r="BI10" s="1211">
        <v>0</v>
      </c>
    </row>
    <row customHeight="1" ht="11.25" hidden="1">
      <c r="A11" s="1419"/>
      <c r="B11" s="1419"/>
      <c r="C11" s="1419"/>
      <c r="D11" s="1419"/>
      <c r="E11" s="2315"/>
      <c r="F11" s="2315"/>
      <c r="G11" s="2315"/>
      <c r="H11" s="2315"/>
      <c r="I11" s="2342"/>
      <c r="J11" s="2342"/>
      <c r="K11" s="2312"/>
      <c r="L11" s="1420"/>
      <c r="P11" s="2313"/>
      <c r="Q11" s="2313"/>
      <c r="R11" s="2403"/>
      <c r="S11" s="2398"/>
      <c r="T11" s="2417"/>
      <c r="U11" s="356"/>
      <c r="V11" s="1449"/>
      <c r="W11" s="1552"/>
      <c r="X11" s="1449"/>
      <c r="Y11" s="1552"/>
      <c r="Z11" s="1449"/>
      <c r="AA11" s="1449"/>
      <c r="AB11" s="1449"/>
      <c r="AC11" s="1449"/>
      <c r="AD11" s="2242"/>
      <c r="AE11" s="2382"/>
      <c r="AF11" s="2261"/>
      <c r="AG11" s="2419"/>
      <c r="AH11" s="2163"/>
      <c r="AI11" s="350"/>
      <c r="AJ11" s="471"/>
      <c r="AK11" s="369" t="s">
        <v>637</v>
      </c>
      <c r="AL11" s="1449"/>
      <c r="AM11" s="1449"/>
      <c r="AN11" s="1449"/>
      <c r="AO11" s="1449"/>
      <c r="AP11" s="1449"/>
      <c r="AQ11" s="1449"/>
      <c r="AR11" s="1449"/>
      <c r="AS11" s="1449"/>
      <c r="AT11" s="1449"/>
      <c r="AU11" s="1552"/>
      <c r="AV11" s="1449"/>
      <c r="AW11" s="1552"/>
      <c r="AX11" s="1449"/>
      <c r="AY11" s="1449"/>
      <c r="AZ11" s="1449"/>
      <c r="BA11" s="1449"/>
      <c r="BB11" s="1453"/>
      <c r="BC11" s="2310"/>
      <c r="BE11" s="556"/>
      <c r="BF11" s="556"/>
      <c r="BG11" s="556"/>
      <c r="BH11" s="556"/>
      <c r="BI11" s="1211">
        <v>0</v>
      </c>
    </row>
    <row customHeight="1" ht="11.25" hidden="1">
      <c r="A12" s="1419"/>
      <c r="B12" s="1419"/>
      <c r="C12" s="1419"/>
      <c r="D12" s="1419"/>
      <c r="E12" s="2315"/>
      <c r="F12" s="2315"/>
      <c r="G12" s="2315"/>
      <c r="H12" s="2315"/>
      <c r="I12" s="2342"/>
      <c r="J12" s="2342"/>
      <c r="K12" s="2312"/>
      <c r="L12" s="1420"/>
      <c r="P12" s="2313"/>
      <c r="Q12" s="2313"/>
      <c r="R12" s="2403"/>
      <c r="S12" s="2399"/>
      <c r="T12" s="2418"/>
      <c r="U12" s="356"/>
      <c r="V12" s="1449"/>
      <c r="W12" s="1450" t="str">
        <f>Z8&amp;"-"&amp;AB8</f>
        <v>-</v>
      </c>
      <c r="X12" s="1449"/>
      <c r="Y12" s="1450" t="str">
        <f>AB8&amp;"-"&amp;AD8</f>
        <v>-да</v>
      </c>
      <c r="Z12" s="1449"/>
      <c r="AA12" s="1449"/>
      <c r="AB12" s="1449"/>
      <c r="AC12" s="1449"/>
      <c r="AD12" s="2168"/>
      <c r="AE12" s="368"/>
      <c r="AF12" s="370"/>
      <c r="AG12" s="472" t="s">
        <v>638</v>
      </c>
      <c r="AH12" s="1449"/>
      <c r="AI12" s="1449"/>
      <c r="AJ12" s="1449"/>
      <c r="AK12" s="1449"/>
      <c r="AL12" s="1449"/>
      <c r="AM12" s="1449"/>
      <c r="AN12" s="1449"/>
      <c r="AO12" s="1449"/>
      <c r="AP12" s="1449"/>
      <c r="AQ12" s="1449"/>
      <c r="AR12" s="1449"/>
      <c r="AS12" s="1449"/>
      <c r="AT12" s="1449"/>
      <c r="AU12" s="1450" t="str">
        <f>AX8&amp;"-"&amp;AZ8</f>
        <v>-</v>
      </c>
      <c r="AV12" s="1449"/>
      <c r="AW12" s="1450" t="str">
        <f>AZ8&amp;"-"&amp;BB8</f>
        <v>-</v>
      </c>
      <c r="AX12" s="1449"/>
      <c r="AY12" s="1449"/>
      <c r="AZ12" s="1449"/>
      <c r="BA12" s="1449"/>
      <c r="BB12" s="1452" t="str">
        <f>BE8&amp;"-"&amp;BG8</f>
        <v>-</v>
      </c>
      <c r="BC12" s="2310"/>
      <c r="BE12" s="556"/>
      <c r="BF12" s="556" t="str">
        <f>IF(T12="","",T12)</f>
        <v/>
      </c>
      <c r="BG12" s="556"/>
      <c r="BH12" s="556"/>
      <c r="BI12" s="1211">
        <v>0</v>
      </c>
    </row>
    <row customHeight="1" ht="11.25" hidden="1">
      <c r="A13" s="1419"/>
      <c r="B13" s="1419"/>
      <c r="C13" s="1419"/>
      <c r="D13" s="1419"/>
      <c r="E13" s="2315"/>
      <c r="F13" s="2315"/>
      <c r="G13" s="2315"/>
      <c r="H13" s="2315"/>
      <c r="I13" s="2342"/>
      <c r="J13" s="2312"/>
      <c r="K13" s="1419"/>
      <c r="L13" s="1420"/>
      <c r="P13" s="2313"/>
      <c r="Q13" s="2313"/>
      <c r="R13" s="412"/>
      <c r="S13" s="1334"/>
      <c r="T13" s="343" t="s">
        <v>597</v>
      </c>
      <c r="U13" s="423"/>
      <c r="V13" s="423"/>
      <c r="W13" s="423"/>
      <c r="X13" s="423"/>
      <c r="Y13" s="423"/>
      <c r="Z13" s="423"/>
      <c r="AA13" s="423"/>
      <c r="AB13" s="423"/>
      <c r="AC13" s="423"/>
      <c r="AD13" s="1561"/>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380"/>
      <c r="BC13" s="2311"/>
      <c r="BE13" s="556"/>
      <c r="BF13" s="556" t="str">
        <f>IF(T13="","",T13)</f>
        <v>Добавить строку</v>
      </c>
      <c r="BG13" s="556"/>
      <c r="BH13" s="556"/>
      <c r="BI13" s="1211">
        <v>0</v>
      </c>
    </row>
    <row s="2851" customFormat="1" customHeight="1" ht="14.25" hidden="1">
      <c r="A14" s="1399"/>
      <c r="B14" s="1399"/>
      <c r="C14" s="1399"/>
      <c r="D14" s="1399"/>
      <c r="E14" s="2315"/>
      <c r="F14" s="2315"/>
      <c r="G14" s="2315"/>
      <c r="H14" s="2315"/>
      <c r="I14" s="2312"/>
      <c r="J14" s="1399"/>
      <c r="K14" s="1399"/>
      <c r="L14" s="1402"/>
      <c r="M14" s="566"/>
      <c r="N14" s="566"/>
      <c r="O14" s="566"/>
      <c r="P14" s="2313"/>
      <c r="Q14" s="1518"/>
      <c r="R14" s="412"/>
      <c r="S14" s="1442"/>
      <c r="T14" s="1443"/>
      <c r="U14" s="1444"/>
      <c r="V14" s="1444"/>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4"/>
      <c r="AR14" s="1444"/>
      <c r="AS14" s="1444"/>
      <c r="AT14" s="1444"/>
      <c r="AU14" s="1444"/>
      <c r="AV14" s="1444"/>
      <c r="AW14" s="1444"/>
      <c r="AX14" s="1444"/>
      <c r="AY14" s="1444"/>
      <c r="AZ14" s="1444"/>
      <c r="BA14" s="1444"/>
      <c r="BB14" s="1444"/>
      <c r="BC14" s="1445"/>
      <c r="BE14" s="556"/>
      <c r="BF14" s="556" t="str">
        <f>IF(T14="","",T14)</f>
        <v/>
      </c>
      <c r="BG14" s="556"/>
      <c r="BH14" s="556"/>
      <c r="BI14" s="567">
        <v>0</v>
      </c>
    </row>
    <row s="2851" customFormat="1" customHeight="1" ht="14.25" hidden="1">
      <c r="A15" s="1399"/>
      <c r="B15" s="1399"/>
      <c r="C15" s="1399"/>
      <c r="D15" s="1399"/>
      <c r="E15" s="2315"/>
      <c r="F15" s="2315"/>
      <c r="G15" s="2315"/>
      <c r="H15" s="2314"/>
      <c r="I15" s="1399"/>
      <c r="J15" s="1399"/>
      <c r="K15" s="1399"/>
      <c r="L15" s="1402"/>
      <c r="M15" s="1371"/>
      <c r="N15" s="1371"/>
      <c r="O15" s="574"/>
      <c r="P15" s="436"/>
      <c r="Q15" s="1400"/>
      <c r="R15" s="1457"/>
      <c r="S15" s="1442"/>
      <c r="T15" s="1443"/>
      <c r="U15" s="1444"/>
      <c r="V15" s="1444"/>
      <c r="W15" s="1444"/>
      <c r="X15" s="1444"/>
      <c r="Y15" s="1444"/>
      <c r="Z15" s="1444"/>
      <c r="AA15" s="1444"/>
      <c r="AB15" s="1444"/>
      <c r="AC15" s="1444"/>
      <c r="AD15" s="1444"/>
      <c r="AE15" s="1444"/>
      <c r="AF15" s="1444"/>
      <c r="AG15" s="1444"/>
      <c r="AH15" s="1444"/>
      <c r="AI15" s="1444"/>
      <c r="AJ15" s="1444"/>
      <c r="AK15" s="1444"/>
      <c r="AL15" s="1444"/>
      <c r="AM15" s="1444"/>
      <c r="AN15" s="1444"/>
      <c r="AO15" s="1444"/>
      <c r="AP15" s="1444"/>
      <c r="AQ15" s="1444"/>
      <c r="AR15" s="1444"/>
      <c r="AS15" s="1444"/>
      <c r="AT15" s="1444"/>
      <c r="AU15" s="1444"/>
      <c r="AV15" s="1444"/>
      <c r="AW15" s="1444"/>
      <c r="AX15" s="1444"/>
      <c r="AY15" s="1444"/>
      <c r="AZ15" s="1444"/>
      <c r="BA15" s="1444"/>
      <c r="BB15" s="1444"/>
      <c r="BC15" s="1445"/>
      <c r="BE15" s="556"/>
      <c r="BF15" s="556" t="str">
        <f>IF(T15="","",T15)</f>
        <v/>
      </c>
      <c r="BG15" s="556"/>
      <c r="BH15" s="556"/>
      <c r="BI15" s="567">
        <v>0</v>
      </c>
    </row>
    <row s="2851" customFormat="1" customHeight="1" ht="14.25" hidden="1">
      <c r="A16" s="1399"/>
      <c r="B16" s="1399"/>
      <c r="C16" s="1399"/>
      <c r="D16" s="1370"/>
      <c r="E16" s="2315"/>
      <c r="F16" s="2315"/>
      <c r="G16" s="2314"/>
      <c r="H16" s="1370"/>
      <c r="I16" s="1370"/>
      <c r="J16" s="1370"/>
      <c r="K16" s="1370"/>
      <c r="L16" s="1520"/>
      <c r="M16" s="1371"/>
      <c r="N16" s="1371"/>
      <c r="P16" s="1372"/>
      <c r="Q16" s="1373"/>
      <c r="R16" s="1372"/>
      <c r="S16" s="1378"/>
      <c r="T16" s="1381"/>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E16" s="845"/>
      <c r="BF16" s="845" t="str">
        <f>IF(T16="","",T16)</f>
        <v/>
      </c>
      <c r="BG16" s="845"/>
      <c r="BH16" s="845"/>
      <c r="BI16" s="574">
        <v>0</v>
      </c>
    </row>
    <row s="2851" customFormat="1" customHeight="1" ht="14.25" hidden="1">
      <c r="A17" s="1399"/>
      <c r="B17" s="1399"/>
      <c r="C17" s="1370"/>
      <c r="D17" s="1370"/>
      <c r="E17" s="2315"/>
      <c r="F17" s="2314"/>
      <c r="G17" s="1370"/>
      <c r="H17" s="1370"/>
      <c r="I17" s="1370"/>
      <c r="J17" s="1370"/>
      <c r="K17" s="1370"/>
      <c r="L17" s="1520"/>
      <c r="M17" s="1377"/>
      <c r="N17" s="1377"/>
      <c r="P17" s="1372"/>
      <c r="Q17" s="1373"/>
      <c r="R17" s="1372"/>
      <c r="S17" s="1378"/>
      <c r="T17" s="1381" t="s">
        <v>302</v>
      </c>
      <c r="U17" s="1380"/>
      <c r="V17" s="1380"/>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E17" s="845"/>
      <c r="BF17" s="845" t="str">
        <f>IF(T17="","",T17)</f>
        <v>Добавить централизованную систему для дифференциации</v>
      </c>
      <c r="BG17" s="845"/>
      <c r="BH17" s="845"/>
      <c r="BI17" s="574">
        <v>0</v>
      </c>
    </row>
    <row s="2851" customFormat="1" customHeight="1" ht="14.25" hidden="1">
      <c r="A18" s="1399"/>
      <c r="B18" s="1399"/>
      <c r="C18" s="1399"/>
      <c r="D18" s="1399"/>
      <c r="E18" s="2314"/>
      <c r="F18" s="1399"/>
      <c r="G18" s="1399"/>
      <c r="H18" s="1399"/>
      <c r="I18" s="1399"/>
      <c r="J18" s="1399"/>
      <c r="K18" s="1399"/>
      <c r="L18" s="1402"/>
      <c r="M18" s="1377"/>
      <c r="N18" s="1377"/>
      <c r="O18" s="574"/>
      <c r="P18" s="436"/>
      <c r="Q18" s="1400"/>
      <c r="R18" s="436"/>
      <c r="S18" s="1378"/>
      <c r="T18" s="1381" t="s">
        <v>359</v>
      </c>
      <c r="U18" s="1380"/>
      <c r="V18" s="1380"/>
      <c r="W18" s="1380"/>
      <c r="X18" s="1380"/>
      <c r="Y18" s="1380"/>
      <c r="Z18" s="1380"/>
      <c r="AA18" s="1380"/>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E18" s="556"/>
      <c r="BF18" s="556" t="str">
        <f>IF(T18="","",T18)</f>
        <v>Добавить территорию для дифференциации</v>
      </c>
      <c r="BG18" s="556"/>
      <c r="BH18" s="556"/>
      <c r="BI18" s="567">
        <v>0</v>
      </c>
    </row>
    <row customHeight="1" ht="14.25" hidden="1">
      <c r="AC19" s="383"/>
      <c r="BA19" s="383"/>
      <c r="BI19" s="1211">
        <v>0</v>
      </c>
    </row>
    <row customHeight="1" ht="14.25" hidden="1">
      <c r="AD20" s="1380" t="s">
        <v>19</v>
      </c>
      <c r="AE20" s="1557"/>
      <c r="AF20" s="604">
        <v>1</v>
      </c>
      <c r="AG20" s="1558"/>
      <c r="AH20" s="1380" t="s">
        <v>19</v>
      </c>
      <c r="AI20" s="1557"/>
      <c r="AJ20" s="604">
        <v>1</v>
      </c>
      <c r="AK20" s="1558"/>
      <c r="AL20" s="1380" t="s">
        <v>19</v>
      </c>
      <c r="AM20" s="1559"/>
      <c r="AN20" s="604">
        <v>1</v>
      </c>
      <c r="AO20" s="1560"/>
      <c r="AP20" s="1380" t="s">
        <v>19</v>
      </c>
      <c r="AQ20" s="1559"/>
      <c r="AR20" s="604">
        <v>1</v>
      </c>
      <c r="AS20" s="1560"/>
      <c r="AT20" s="381"/>
      <c r="AU20" s="440"/>
      <c r="AV20" s="381"/>
      <c r="AW20" s="440"/>
      <c r="AX20" s="1792"/>
      <c r="AY20" s="1516" t="s">
        <v>65</v>
      </c>
      <c r="AZ20" s="1792"/>
      <c r="BA20" s="1516" t="s">
        <v>65</v>
      </c>
      <c r="BI20" s="1211">
        <v>0</v>
      </c>
    </row>
    <row customHeight="1" ht="14.25" hidden="1">
      <c r="BD21" s="552"/>
      <c r="BE21" s="552"/>
      <c r="BF21" s="552"/>
      <c r="BG21" s="552"/>
      <c r="BH21" s="552"/>
      <c r="BI21" s="1211">
        <v>0</v>
      </c>
    </row>
    <row customHeight="1" ht="14.25" hidden="1">
      <c r="O22" s="1423" t="s">
        <v>547</v>
      </c>
      <c r="Z22" s="1401"/>
      <c r="AB22" s="1401"/>
      <c r="AC22" s="383"/>
      <c r="AX22" s="1401"/>
      <c r="AZ22" s="1401"/>
      <c r="BA22" s="383"/>
      <c r="BD22" s="552"/>
      <c r="BE22" s="552"/>
      <c r="BF22" s="552"/>
      <c r="BG22" s="552"/>
      <c r="BH22" s="552"/>
      <c r="BI22" s="1211">
        <v>0</v>
      </c>
    </row>
    <row customHeight="1" ht="14.25" hidden="1">
      <c r="AC23" s="383"/>
      <c r="BA23" s="383"/>
      <c r="BD23" s="552"/>
      <c r="BE23" s="552"/>
      <c r="BF23" s="552"/>
      <c r="BG23" s="552"/>
      <c r="BH23" s="552"/>
      <c r="BI23" s="1211">
        <v>0</v>
      </c>
    </row>
    <row s="3830" customFormat="1" customHeight="1" ht="14.25" hidden="1">
      <c r="M24" s="1564"/>
      <c r="N24" s="1564"/>
      <c r="O24" s="1565" t="s">
        <v>548</v>
      </c>
      <c r="P24" s="1564"/>
      <c r="Q24" s="1566"/>
      <c r="R24" s="1566"/>
      <c r="AA24" s="1563" t="s">
        <v>550</v>
      </c>
      <c r="AC24" s="1563" t="s">
        <v>551</v>
      </c>
      <c r="AD24" s="1563" t="s">
        <v>598</v>
      </c>
      <c r="AH24" s="1563" t="s">
        <v>598</v>
      </c>
      <c r="AK24" s="1563" t="s">
        <v>639</v>
      </c>
      <c r="AL24" s="1563" t="s">
        <v>598</v>
      </c>
      <c r="AP24" s="1563" t="s">
        <v>598</v>
      </c>
      <c r="AY24" s="1563" t="s">
        <v>550</v>
      </c>
      <c r="BA24" s="1563" t="s">
        <v>551</v>
      </c>
      <c r="BD24" s="1567"/>
      <c r="BE24" s="1567"/>
      <c r="BF24" s="1567"/>
      <c r="BG24" s="1567"/>
      <c r="BH24" s="1567"/>
      <c r="BI24" s="1563">
        <v>0</v>
      </c>
    </row>
    <row customHeight="1" ht="14.25" hidden="1">
      <c r="O25" s="1420"/>
      <c r="BD25" s="552"/>
      <c r="BE25" s="552"/>
      <c r="BF25" s="552"/>
      <c r="BG25" s="552"/>
      <c r="BH25" s="552"/>
      <c r="BI25" s="1211">
        <v>0</v>
      </c>
    </row>
    <row customHeight="1" ht="14.25" hidden="1">
      <c r="O26" s="1420"/>
      <c r="BD26" s="552"/>
      <c r="BE26" s="552"/>
      <c r="BF26" s="552"/>
      <c r="BG26" s="552"/>
      <c r="BH26" s="552"/>
      <c r="BI26" s="1211">
        <v>0</v>
      </c>
    </row>
    <row customHeight="1" ht="14.699999999999998">
      <c r="Q27" s="347"/>
      <c r="R27" s="432"/>
      <c r="S27" s="1331"/>
      <c r="T27" s="419"/>
      <c r="U27" s="419"/>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I27" s="1211">
        <v>14</v>
      </c>
    </row>
    <row customHeight="1" ht="14.699999999999998">
      <c r="Q28" s="347"/>
      <c r="R28" s="432"/>
      <c r="S28" s="230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299"/>
      <c r="BI28" s="1211">
        <v>14</v>
      </c>
    </row>
    <row customHeight="1" ht="14.699999999999998">
      <c r="Q29" s="347"/>
      <c r="R29" s="432"/>
      <c r="S29" s="2305" t="str">
        <f>IF(org=0,"Не определено",org)</f>
        <v>МУП ЖКХ "Родник"</v>
      </c>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305"/>
      <c r="AT29" s="2305"/>
      <c r="AU29" s="2305"/>
      <c r="AV29" s="2305"/>
      <c r="AW29" s="2305"/>
      <c r="AX29" s="2305"/>
      <c r="AY29" s="2305"/>
      <c r="AZ29" s="2305"/>
      <c r="BA29" s="1299"/>
      <c r="BI29" s="1211">
        <v>14</v>
      </c>
    </row>
    <row customHeight="1" ht="14.25">
      <c r="Q30" s="347"/>
      <c r="R30" s="432"/>
      <c r="S30" s="1331"/>
      <c r="T30" s="419"/>
      <c r="U30" s="419"/>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565"/>
      <c r="BI30" s="1211">
        <v>0</v>
      </c>
    </row>
    <row s="2983" customFormat="1" customHeight="1" ht="25.5">
      <c r="A31" s="1424"/>
      <c r="B31" s="1424"/>
      <c r="C31" s="1424"/>
      <c r="D31" s="1424"/>
      <c r="E31" s="1424"/>
      <c r="F31" s="1424"/>
      <c r="G31" s="1424"/>
      <c r="H31" s="1424"/>
      <c r="I31" s="1424"/>
      <c r="J31" s="1424"/>
      <c r="K31" s="1424"/>
      <c r="L31" s="1425"/>
      <c r="M31" s="1424"/>
      <c r="N31" s="1424"/>
      <c r="O31" s="1424"/>
      <c r="P31" s="1424"/>
      <c r="Q31" s="1424"/>
      <c r="S31" s="2306" t="s">
        <v>42</v>
      </c>
      <c r="T31" s="2306"/>
      <c r="U31" s="1428"/>
      <c r="V31" s="2307" t="str">
        <f>IF(TITLE_NAME_OR_PR_CHANGE="",IF(TITLE_NAME_OR_PR="","",TITLE_NAME_OR_PR),TITLE_NAME_OR_PR_CHANGE)</f>
        <v>Министерство по тарифам и ценам Курской области</v>
      </c>
      <c r="W31" s="2307"/>
      <c r="X31" s="2307"/>
      <c r="Y31" s="2307"/>
      <c r="Z31" s="2307"/>
      <c r="AA31" s="2307"/>
      <c r="AB31" s="2307"/>
      <c r="AC31" s="382"/>
      <c r="AD31" s="2307" t="str">
        <f>IF(TITLE_NAME_OR_PR_CHANGE="",IF(TITLE_NAME_OR_PR="","",TITLE_NAME_OR_PR),TITLE_NAME_OR_PR_CHANGE)</f>
        <v>Министерство по тарифам и ценам Курской области</v>
      </c>
      <c r="AE31" s="2307"/>
      <c r="AF31" s="2307"/>
      <c r="AG31" s="2307"/>
      <c r="AH31" s="2307"/>
      <c r="AI31" s="2307"/>
      <c r="AJ31" s="2307"/>
      <c r="AK31" s="2307"/>
      <c r="AL31" s="2307"/>
      <c r="AM31" s="2307"/>
      <c r="AN31" s="2307"/>
      <c r="AO31" s="2307"/>
      <c r="AP31" s="2307"/>
      <c r="AQ31" s="2307"/>
      <c r="AR31" s="2307"/>
      <c r="AS31" s="2307"/>
      <c r="AT31" s="2307"/>
      <c r="AU31" s="2307"/>
      <c r="AV31" s="2307"/>
      <c r="AW31" s="2307"/>
      <c r="AX31" s="2307"/>
      <c r="AY31" s="2307"/>
      <c r="AZ31" s="2307"/>
      <c r="BA31" s="382"/>
      <c r="BB31" s="382"/>
      <c r="BC31" s="336"/>
      <c r="BD31" s="424"/>
      <c r="BE31" s="424"/>
      <c r="BF31" s="424"/>
      <c r="BG31" s="424"/>
      <c r="BH31" s="424"/>
      <c r="BI31" s="474">
        <v>0</v>
      </c>
    </row>
    <row s="2983" customFormat="1" customHeight="1" ht="18.75">
      <c r="A32" s="1424"/>
      <c r="B32" s="1424"/>
      <c r="C32" s="1424"/>
      <c r="D32" s="1424"/>
      <c r="E32" s="1424"/>
      <c r="F32" s="1424"/>
      <c r="G32" s="1424"/>
      <c r="H32" s="1424"/>
      <c r="I32" s="1424"/>
      <c r="J32" s="1424"/>
      <c r="K32" s="1424"/>
      <c r="L32" s="1425"/>
      <c r="M32" s="1424"/>
      <c r="N32" s="1424"/>
      <c r="O32" s="1424"/>
      <c r="P32" s="1424"/>
      <c r="Q32" s="1424"/>
      <c r="S32" s="2306" t="s">
        <v>553</v>
      </c>
      <c r="T32" s="2306"/>
      <c r="U32" s="1428"/>
      <c r="V32" s="2320" t="str">
        <f>IF(TITLE_DATE_PR_CHANGE="",IF(TITLE_DATE_PR="","",TITLE_DATE_PR),TITLE_DATE_PR_CHANGE)</f>
        <v>45645</v>
      </c>
      <c r="W32" s="2320"/>
      <c r="X32" s="2320"/>
      <c r="Y32" s="2320"/>
      <c r="Z32" s="2320"/>
      <c r="AA32" s="2320"/>
      <c r="AB32" s="2320"/>
      <c r="AC32" s="382"/>
      <c r="AD32" s="2320" t="str">
        <f>IF(TITLE_DATE_PR_CHANGE="",IF(TITLE_DATE_PR="","",TITLE_DATE_PR),TITLE_DATE_PR_CHANGE)</f>
        <v>45645</v>
      </c>
      <c r="AE32" s="2320"/>
      <c r="AF32" s="2320"/>
      <c r="AG32" s="2320"/>
      <c r="AH32" s="2320"/>
      <c r="AI32" s="2320"/>
      <c r="AJ32" s="2320"/>
      <c r="AK32" s="2320"/>
      <c r="AL32" s="2320"/>
      <c r="AM32" s="2320"/>
      <c r="AN32" s="2320"/>
      <c r="AO32" s="2320"/>
      <c r="AP32" s="2320"/>
      <c r="AQ32" s="2320"/>
      <c r="AR32" s="2320"/>
      <c r="AS32" s="2320"/>
      <c r="AT32" s="2320"/>
      <c r="AU32" s="2320"/>
      <c r="AV32" s="2320"/>
      <c r="AW32" s="2320"/>
      <c r="AX32" s="2320"/>
      <c r="AY32" s="2320"/>
      <c r="AZ32" s="2320"/>
      <c r="BA32" s="382"/>
      <c r="BB32" s="382"/>
      <c r="BC32" s="336"/>
      <c r="BD32" s="424"/>
      <c r="BE32" s="424"/>
      <c r="BF32" s="424"/>
      <c r="BG32" s="424"/>
      <c r="BH32" s="424"/>
      <c r="BI32" s="474">
        <v>0</v>
      </c>
    </row>
    <row s="2983" customFormat="1" customHeight="1" ht="18.75">
      <c r="A33" s="1424"/>
      <c r="B33" s="1424"/>
      <c r="C33" s="1424"/>
      <c r="D33" s="1424"/>
      <c r="E33" s="1424"/>
      <c r="F33" s="1424"/>
      <c r="G33" s="1424"/>
      <c r="H33" s="1424"/>
      <c r="I33" s="1424"/>
      <c r="J33" s="1424"/>
      <c r="K33" s="1424"/>
      <c r="L33" s="1425"/>
      <c r="M33" s="1424"/>
      <c r="N33" s="1424"/>
      <c r="O33" s="1424"/>
      <c r="P33" s="1424"/>
      <c r="Q33" s="1424"/>
      <c r="S33" s="2306" t="s">
        <v>554</v>
      </c>
      <c r="T33" s="2306"/>
      <c r="U33" s="1428"/>
      <c r="V33" s="2307" t="str">
        <f>IF(TITLE_NUMBER_PR_CHANGE="",IF(TITLE_NUMBER_PR="","",TITLE_NUMBER_PR),TITLE_NUMBER_PR_CHANGE)</f>
        <v>208-вод</v>
      </c>
      <c r="W33" s="2307"/>
      <c r="X33" s="2307"/>
      <c r="Y33" s="2307"/>
      <c r="Z33" s="2307"/>
      <c r="AA33" s="2307"/>
      <c r="AB33" s="2307"/>
      <c r="AC33" s="382"/>
      <c r="AD33" s="2307" t="str">
        <f>IF(TITLE_NUMBER_PR_CHANGE="",IF(TITLE_NUMBER_PR="","",TITLE_NUMBER_PR),TITLE_NUMBER_PR_CHANGE)</f>
        <v>208-вод</v>
      </c>
      <c r="AE33" s="2307"/>
      <c r="AF33" s="2307"/>
      <c r="AG33" s="2307"/>
      <c r="AH33" s="2307"/>
      <c r="AI33" s="2307"/>
      <c r="AJ33" s="2307"/>
      <c r="AK33" s="2307"/>
      <c r="AL33" s="2307"/>
      <c r="AM33" s="2307"/>
      <c r="AN33" s="2307"/>
      <c r="AO33" s="2307"/>
      <c r="AP33" s="2307"/>
      <c r="AQ33" s="2307"/>
      <c r="AR33" s="2307"/>
      <c r="AS33" s="2307"/>
      <c r="AT33" s="2307"/>
      <c r="AU33" s="2307"/>
      <c r="AV33" s="2307"/>
      <c r="AW33" s="2307"/>
      <c r="AX33" s="2307"/>
      <c r="AY33" s="2307"/>
      <c r="AZ33" s="2307"/>
      <c r="BA33" s="382"/>
      <c r="BB33" s="382"/>
      <c r="BC33" s="336"/>
      <c r="BD33" s="424"/>
      <c r="BE33" s="424"/>
      <c r="BF33" s="424"/>
      <c r="BG33" s="424"/>
      <c r="BH33" s="424"/>
      <c r="BI33" s="474">
        <v>0</v>
      </c>
    </row>
    <row s="2983" customFormat="1" customHeight="1" ht="18.75">
      <c r="A34" s="1424"/>
      <c r="B34" s="1424"/>
      <c r="C34" s="1424"/>
      <c r="D34" s="1424"/>
      <c r="E34" s="1424"/>
      <c r="F34" s="1424"/>
      <c r="G34" s="1424"/>
      <c r="H34" s="1424"/>
      <c r="I34" s="1424"/>
      <c r="J34" s="1424"/>
      <c r="K34" s="1424"/>
      <c r="L34" s="1425"/>
      <c r="M34" s="1424"/>
      <c r="N34" s="1424"/>
      <c r="O34" s="1424"/>
      <c r="P34" s="1424"/>
      <c r="Q34" s="1424"/>
      <c r="S34" s="2306" t="s">
        <v>44</v>
      </c>
      <c r="T34" s="2306"/>
      <c r="U34" s="1428"/>
      <c r="V34" s="2307" t="str">
        <f>IF(TITLE_IST_PUB_CHANGE="",IF(TITLE_IST_PUB="","",TITLE_IST_PUB),TITLE_IST_PUB_CHANGE)</f>
        <v>Газета "Курская правда" №155 от 26.12.2024 г.</v>
      </c>
      <c r="W34" s="2307"/>
      <c r="X34" s="2307"/>
      <c r="Y34" s="2307"/>
      <c r="Z34" s="2307"/>
      <c r="AA34" s="2307"/>
      <c r="AB34" s="2307"/>
      <c r="AC34" s="382"/>
      <c r="AD34" s="2307" t="str">
        <f>IF(TITLE_IST_PUB_CHANGE="",IF(TITLE_IST_PUB="","",TITLE_IST_PUB),TITLE_IST_PUB_CHANGE)</f>
        <v>Газета "Курская правда" №155 от 26.12.2024 г.</v>
      </c>
      <c r="AE34" s="2307"/>
      <c r="AF34" s="2307"/>
      <c r="AG34" s="2307"/>
      <c r="AH34" s="2307"/>
      <c r="AI34" s="2307"/>
      <c r="AJ34" s="2307"/>
      <c r="AK34" s="2307"/>
      <c r="AL34" s="2307"/>
      <c r="AM34" s="2307"/>
      <c r="AN34" s="2307"/>
      <c r="AO34" s="2307"/>
      <c r="AP34" s="2307"/>
      <c r="AQ34" s="2307"/>
      <c r="AR34" s="2307"/>
      <c r="AS34" s="2307"/>
      <c r="AT34" s="2307"/>
      <c r="AU34" s="2307"/>
      <c r="AV34" s="2307"/>
      <c r="AW34" s="2307"/>
      <c r="AX34" s="2307"/>
      <c r="AY34" s="2307"/>
      <c r="AZ34" s="2307"/>
      <c r="BA34" s="382"/>
      <c r="BB34" s="382"/>
      <c r="BC34" s="336"/>
      <c r="BD34" s="424"/>
      <c r="BE34" s="424"/>
      <c r="BF34" s="424"/>
      <c r="BG34" s="424"/>
      <c r="BH34" s="424"/>
      <c r="BI34" s="474">
        <v>0</v>
      </c>
    </row>
    <row customHeight="1" ht="14.25" hidden="1">
      <c r="Q35" s="347"/>
      <c r="R35" s="432"/>
      <c r="S35" s="1331"/>
      <c r="T35" s="419"/>
      <c r="U35" s="419"/>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565"/>
      <c r="BI35" s="1211">
        <v>0</v>
      </c>
    </row>
    <row s="2983" customFormat="1" customHeight="1" ht="18.75" hidden="1">
      <c r="A36" s="1424"/>
      <c r="B36" s="1424"/>
      <c r="C36" s="1424"/>
      <c r="D36" s="1424"/>
      <c r="E36" s="1424"/>
      <c r="F36" s="1424"/>
      <c r="G36" s="1424"/>
      <c r="H36" s="1424"/>
      <c r="I36" s="1424"/>
      <c r="J36" s="1424"/>
      <c r="K36" s="1424"/>
      <c r="L36" s="1425"/>
      <c r="M36" s="1424"/>
      <c r="N36" s="1424"/>
      <c r="O36" s="1424"/>
      <c r="P36" s="1424"/>
      <c r="Q36" s="1424"/>
      <c r="S36" s="2306" t="s">
        <v>553</v>
      </c>
      <c r="T36" s="2306"/>
      <c r="U36" s="1428"/>
      <c r="V36" s="2320" t="str">
        <f>IF(TITLE_DATE_PR_CHANGE="",IF(TITLE_DATE_PR="","",TITLE_DATE_PR),TITLE_DATE_PR_CHANGE)</f>
        <v>45645</v>
      </c>
      <c r="W36" s="2320"/>
      <c r="X36" s="2320"/>
      <c r="Y36" s="2320"/>
      <c r="Z36" s="2320"/>
      <c r="AA36" s="2320"/>
      <c r="AB36" s="2320"/>
      <c r="AC36" s="382"/>
      <c r="AD36" s="2320" t="str">
        <f>IF(TITLE_DATE_PR_CHANGE="",IF(TITLE_DATE_PR="","",TITLE_DATE_PR),TITLE_DATE_PR_CHANGE)</f>
        <v>45645</v>
      </c>
      <c r="AE36" s="2320"/>
      <c r="AF36" s="2320"/>
      <c r="AG36" s="2320"/>
      <c r="AH36" s="2320"/>
      <c r="AI36" s="2320"/>
      <c r="AJ36" s="2320"/>
      <c r="AK36" s="2320"/>
      <c r="AL36" s="2320"/>
      <c r="AM36" s="2320"/>
      <c r="AN36" s="2320"/>
      <c r="AO36" s="2320"/>
      <c r="AP36" s="2320"/>
      <c r="AQ36" s="2320"/>
      <c r="AR36" s="2320"/>
      <c r="AS36" s="2320"/>
      <c r="AT36" s="2320"/>
      <c r="AU36" s="2320"/>
      <c r="AV36" s="2320"/>
      <c r="AW36" s="2320"/>
      <c r="AX36" s="2320"/>
      <c r="AY36" s="2320"/>
      <c r="AZ36" s="2320"/>
      <c r="BA36" s="382"/>
      <c r="BB36" s="382"/>
      <c r="BC36" s="336"/>
      <c r="BD36" s="424"/>
      <c r="BE36" s="424"/>
      <c r="BF36" s="424"/>
      <c r="BG36" s="424"/>
      <c r="BH36" s="424"/>
      <c r="BI36" s="474">
        <v>0</v>
      </c>
    </row>
    <row s="2983" customFormat="1" customHeight="1" ht="18.75" hidden="1">
      <c r="A37" s="1424"/>
      <c r="B37" s="1424"/>
      <c r="C37" s="1424"/>
      <c r="D37" s="1424"/>
      <c r="E37" s="1424"/>
      <c r="F37" s="1424"/>
      <c r="G37" s="1424"/>
      <c r="H37" s="1424"/>
      <c r="I37" s="1424"/>
      <c r="J37" s="1424"/>
      <c r="K37" s="1424"/>
      <c r="L37" s="1425"/>
      <c r="M37" s="1424"/>
      <c r="N37" s="1424"/>
      <c r="O37" s="1424"/>
      <c r="P37" s="1424"/>
      <c r="Q37" s="1424"/>
      <c r="S37" s="2306" t="s">
        <v>554</v>
      </c>
      <c r="T37" s="2306"/>
      <c r="U37" s="1428"/>
      <c r="V37" s="2307" t="str">
        <f>IF(TITLE_NUMBER_PR_CHANGE="",IF(TITLE_NUMBER_PR="","",TITLE_NUMBER_PR),TITLE_NUMBER_PR_CHANGE)</f>
        <v>208-вод</v>
      </c>
      <c r="W37" s="2307"/>
      <c r="X37" s="2307"/>
      <c r="Y37" s="2307"/>
      <c r="Z37" s="2307"/>
      <c r="AA37" s="2307"/>
      <c r="AB37" s="2307"/>
      <c r="AC37" s="382"/>
      <c r="AD37" s="2307" t="str">
        <f>IF(TITLE_NUMBER_PR_CHANGE="",IF(TITLE_NUMBER_PR="","",TITLE_NUMBER_PR),TITLE_NUMBER_PR_CHANGE)</f>
        <v>208-вод</v>
      </c>
      <c r="AE37" s="2307"/>
      <c r="AF37" s="2307"/>
      <c r="AG37" s="2307"/>
      <c r="AH37" s="2307"/>
      <c r="AI37" s="2307"/>
      <c r="AJ37" s="2307"/>
      <c r="AK37" s="2307"/>
      <c r="AL37" s="2307"/>
      <c r="AM37" s="2307"/>
      <c r="AN37" s="2307"/>
      <c r="AO37" s="2307"/>
      <c r="AP37" s="2307"/>
      <c r="AQ37" s="2307"/>
      <c r="AR37" s="2307"/>
      <c r="AS37" s="2307"/>
      <c r="AT37" s="2307"/>
      <c r="AU37" s="2307"/>
      <c r="AV37" s="2307"/>
      <c r="AW37" s="2307"/>
      <c r="AX37" s="2307"/>
      <c r="AY37" s="2307"/>
      <c r="AZ37" s="2307"/>
      <c r="BA37" s="382"/>
      <c r="BB37" s="382"/>
      <c r="BC37" s="336"/>
      <c r="BD37" s="424"/>
      <c r="BE37" s="424"/>
      <c r="BF37" s="424"/>
      <c r="BG37" s="424"/>
      <c r="BH37" s="424"/>
      <c r="BI37" s="474">
        <v>0</v>
      </c>
    </row>
    <row s="2983" customFormat="1" customHeight="1" ht="0">
      <c r="A38" s="1424"/>
      <c r="B38" s="1424"/>
      <c r="C38" s="1424"/>
      <c r="D38" s="1424"/>
      <c r="E38" s="1424"/>
      <c r="F38" s="1424"/>
      <c r="G38" s="1424"/>
      <c r="H38" s="1424"/>
      <c r="I38" s="1424"/>
      <c r="J38" s="1424"/>
      <c r="K38" s="1424"/>
      <c r="L38" s="1425"/>
      <c r="M38" s="1424"/>
      <c r="N38" s="1424"/>
      <c r="O38" s="1424"/>
      <c r="P38" s="1424"/>
      <c r="Q38" s="1424"/>
      <c r="S38" s="379"/>
      <c r="T38" s="379"/>
      <c r="U38" s="1510"/>
      <c r="V38" s="382"/>
      <c r="W38" s="382"/>
      <c r="X38" s="382"/>
      <c r="Y38" s="382"/>
      <c r="Z38" s="382"/>
      <c r="AA38" s="382"/>
      <c r="AB38" s="382"/>
      <c r="AC38" s="334" t="s">
        <v>557</v>
      </c>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34" t="s">
        <v>557</v>
      </c>
      <c r="BD38" s="424"/>
      <c r="BE38" s="424"/>
      <c r="BF38" s="424"/>
      <c r="BG38" s="424"/>
      <c r="BH38" s="424"/>
      <c r="BI38" s="474">
        <v>0</v>
      </c>
    </row>
    <row customHeight="1" ht="14.699999999999998">
      <c r="Q39" s="347"/>
      <c r="R39" s="432"/>
      <c r="S39" s="1331"/>
      <c r="T39" s="419"/>
      <c r="U39" s="1300"/>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c r="AS39" s="2308"/>
      <c r="AT39" s="2308"/>
      <c r="AU39" s="2308"/>
      <c r="AV39" s="2308"/>
      <c r="AW39" s="2308"/>
      <c r="AX39" s="2308"/>
      <c r="AY39" s="2308"/>
      <c r="AZ39" s="2308"/>
      <c r="BA39" s="2308"/>
      <c r="BI39" s="1211">
        <v>14</v>
      </c>
    </row>
    <row customHeight="1" ht="14.699999999999998">
      <c r="Q40" s="347"/>
      <c r="R40" s="432"/>
      <c r="S40" s="2183" t="s">
        <v>432</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433</v>
      </c>
      <c r="BI40" s="1211">
        <v>14</v>
      </c>
    </row>
    <row customHeight="1" ht="14.699999999999998">
      <c r="Q41" s="347"/>
      <c r="R41" s="432"/>
      <c r="S41" s="2329" t="s">
        <v>92</v>
      </c>
      <c r="T41" s="2265" t="s">
        <v>640</v>
      </c>
      <c r="U41" s="357"/>
      <c r="V41" s="2330" t="s">
        <v>559</v>
      </c>
      <c r="W41" s="2331"/>
      <c r="X41" s="2331"/>
      <c r="Y41" s="2331"/>
      <c r="Z41" s="2331"/>
      <c r="AA41" s="2331"/>
      <c r="AB41" s="2332"/>
      <c r="AC41" s="2333" t="s">
        <v>560</v>
      </c>
      <c r="AD41" s="2384" t="s">
        <v>641</v>
      </c>
      <c r="AE41" s="2347"/>
      <c r="AF41" s="2347"/>
      <c r="AG41" s="2385"/>
      <c r="AH41" s="2384" t="s">
        <v>642</v>
      </c>
      <c r="AI41" s="2347"/>
      <c r="AJ41" s="2347"/>
      <c r="AK41" s="2385"/>
      <c r="AL41" s="2384" t="s">
        <v>643</v>
      </c>
      <c r="AM41" s="2347"/>
      <c r="AN41" s="2347"/>
      <c r="AO41" s="2385"/>
      <c r="AP41" s="2384" t="s">
        <v>644</v>
      </c>
      <c r="AQ41" s="2347"/>
      <c r="AR41" s="2347"/>
      <c r="AS41" s="2385"/>
      <c r="AT41" s="2330" t="s">
        <v>559</v>
      </c>
      <c r="AU41" s="2331"/>
      <c r="AV41" s="2331"/>
      <c r="AW41" s="2331"/>
      <c r="AX41" s="2331"/>
      <c r="AY41" s="2331"/>
      <c r="AZ41" s="2332"/>
      <c r="BA41" s="2333" t="s">
        <v>560</v>
      </c>
      <c r="BB41" s="2336" t="s">
        <v>562</v>
      </c>
      <c r="BC41" s="2183"/>
      <c r="BI41" s="1211">
        <v>14</v>
      </c>
    </row>
    <row customHeight="1" ht="35.699999999999996">
      <c r="Q42" s="347"/>
      <c r="R42" s="432"/>
      <c r="S42" s="2329"/>
      <c r="T42" s="2265"/>
      <c r="U42" s="1087"/>
      <c r="V42" s="2248" t="s">
        <v>645</v>
      </c>
      <c r="W42" s="2249"/>
      <c r="X42" s="2248" t="s">
        <v>646</v>
      </c>
      <c r="Y42" s="2249"/>
      <c r="Z42" s="2350" t="s">
        <v>647</v>
      </c>
      <c r="AA42" s="2369"/>
      <c r="AB42" s="2370"/>
      <c r="AC42" s="2334"/>
      <c r="AD42" s="2386"/>
      <c r="AE42" s="2387"/>
      <c r="AF42" s="2387"/>
      <c r="AG42" s="2388"/>
      <c r="AH42" s="2386"/>
      <c r="AI42" s="2387"/>
      <c r="AJ42" s="2387"/>
      <c r="AK42" s="2388"/>
      <c r="AL42" s="2386"/>
      <c r="AM42" s="2387"/>
      <c r="AN42" s="2387"/>
      <c r="AO42" s="2388"/>
      <c r="AP42" s="2386"/>
      <c r="AQ42" s="2387"/>
      <c r="AR42" s="2387"/>
      <c r="AS42" s="2388"/>
      <c r="AT42" s="2248" t="s">
        <v>645</v>
      </c>
      <c r="AU42" s="2249"/>
      <c r="AV42" s="2248" t="s">
        <v>646</v>
      </c>
      <c r="AW42" s="2249"/>
      <c r="AX42" s="2350" t="s">
        <v>647</v>
      </c>
      <c r="AY42" s="2369"/>
      <c r="AZ42" s="2370"/>
      <c r="BA42" s="2334"/>
      <c r="BB42" s="2337"/>
      <c r="BC42" s="2183"/>
      <c r="BI42" s="1211">
        <v>34</v>
      </c>
    </row>
    <row customHeight="1" ht="14.699999999999998">
      <c r="Q43" s="347"/>
      <c r="R43" s="432"/>
      <c r="S43" s="2329"/>
      <c r="T43" s="2265"/>
      <c r="U43" s="1087"/>
      <c r="V43" s="2256"/>
      <c r="W43" s="2257"/>
      <c r="X43" s="2256"/>
      <c r="Y43" s="2257"/>
      <c r="Z43" s="2351"/>
      <c r="AA43" s="2371"/>
      <c r="AB43" s="2372"/>
      <c r="AC43" s="2334"/>
      <c r="AD43" s="2386"/>
      <c r="AE43" s="2387"/>
      <c r="AF43" s="2387"/>
      <c r="AG43" s="2388"/>
      <c r="AH43" s="2386"/>
      <c r="AI43" s="2387"/>
      <c r="AJ43" s="2387"/>
      <c r="AK43" s="2388"/>
      <c r="AL43" s="2386"/>
      <c r="AM43" s="2387"/>
      <c r="AN43" s="2387"/>
      <c r="AO43" s="2388"/>
      <c r="AP43" s="2386"/>
      <c r="AQ43" s="2387"/>
      <c r="AR43" s="2387"/>
      <c r="AS43" s="2388"/>
      <c r="AT43" s="2256"/>
      <c r="AU43" s="2257"/>
      <c r="AV43" s="2256"/>
      <c r="AW43" s="2257"/>
      <c r="AX43" s="2351"/>
      <c r="AY43" s="2371"/>
      <c r="AZ43" s="2372"/>
      <c r="BA43" s="2334"/>
      <c r="BB43" s="2337"/>
      <c r="BC43" s="2183"/>
      <c r="BI43" s="1211">
        <v>14</v>
      </c>
    </row>
    <row customHeight="1" ht="14.699999999999998">
      <c r="A44" s="1426"/>
      <c r="B44" s="1426" t="s">
        <v>214</v>
      </c>
      <c r="C44" s="1426" t="s">
        <v>215</v>
      </c>
      <c r="D44" s="1426" t="s">
        <v>216</v>
      </c>
      <c r="E44" s="1420" t="s">
        <v>567</v>
      </c>
      <c r="F44" s="1420" t="s">
        <v>568</v>
      </c>
      <c r="G44" s="1420" t="s">
        <v>569</v>
      </c>
      <c r="H44" s="1420" t="s">
        <v>570</v>
      </c>
      <c r="I44" s="1420" t="s">
        <v>571</v>
      </c>
      <c r="J44" s="1420" t="s">
        <v>572</v>
      </c>
      <c r="K44" s="1420" t="s">
        <v>573</v>
      </c>
      <c r="L44" s="1420" t="s">
        <v>548</v>
      </c>
      <c r="Q44" s="347"/>
      <c r="R44" s="432"/>
      <c r="S44" s="2329"/>
      <c r="T44" s="2265"/>
      <c r="U44" s="358"/>
      <c r="V44" s="1504" t="s">
        <v>607</v>
      </c>
      <c r="W44" s="1504" t="s">
        <v>608</v>
      </c>
      <c r="X44" s="1504" t="s">
        <v>607</v>
      </c>
      <c r="Y44" s="1504" t="s">
        <v>608</v>
      </c>
      <c r="Z44" s="1511" t="s">
        <v>576</v>
      </c>
      <c r="AA44" s="2326" t="s">
        <v>577</v>
      </c>
      <c r="AB44" s="2327"/>
      <c r="AC44" s="2335"/>
      <c r="AD44" s="2389"/>
      <c r="AE44" s="2390"/>
      <c r="AF44" s="2390"/>
      <c r="AG44" s="2391"/>
      <c r="AH44" s="2389"/>
      <c r="AI44" s="2390"/>
      <c r="AJ44" s="2390"/>
      <c r="AK44" s="2391"/>
      <c r="AL44" s="2389"/>
      <c r="AM44" s="2390"/>
      <c r="AN44" s="2390"/>
      <c r="AO44" s="2391"/>
      <c r="AP44" s="2389"/>
      <c r="AQ44" s="2390"/>
      <c r="AR44" s="2390"/>
      <c r="AS44" s="2391"/>
      <c r="AT44" s="1504" t="s">
        <v>607</v>
      </c>
      <c r="AU44" s="1504" t="s">
        <v>608</v>
      </c>
      <c r="AV44" s="1504" t="s">
        <v>607</v>
      </c>
      <c r="AW44" s="1504" t="s">
        <v>608</v>
      </c>
      <c r="AX44" s="1511" t="s">
        <v>576</v>
      </c>
      <c r="AY44" s="2326" t="s">
        <v>577</v>
      </c>
      <c r="AZ44" s="2327"/>
      <c r="BA44" s="2335"/>
      <c r="BB44" s="2338"/>
      <c r="BC44" s="2183"/>
      <c r="BI44" s="1211">
        <v>14</v>
      </c>
    </row>
    <row s="3442" customFormat="1" customHeight="1" ht="11.25" hidden="1">
      <c r="A45" s="1426"/>
      <c r="B45" s="1426"/>
      <c r="C45" s="1426"/>
      <c r="D45" s="1426"/>
      <c r="E45" s="1426"/>
      <c r="F45" s="1426"/>
      <c r="G45" s="1426"/>
      <c r="H45" s="1426"/>
      <c r="I45" s="1426"/>
      <c r="J45" s="1426"/>
      <c r="K45" s="1426"/>
      <c r="L45" s="1420"/>
      <c r="M45" s="1418"/>
      <c r="N45" s="1418"/>
      <c r="O45" s="1418"/>
      <c r="P45" s="566"/>
      <c r="Q45" s="1310"/>
      <c r="R45" s="1310">
        <v>1</v>
      </c>
      <c r="S45" s="1333" t="s">
        <v>191</v>
      </c>
      <c r="T45" s="1311" t="s">
        <v>108</v>
      </c>
      <c r="U45" s="1301" t="str">
        <f>OFFSET(U45,0,-1)</f>
        <v>2</v>
      </c>
      <c r="V45" s="1507">
        <f>OFFSET(V45,0,-1)+1</f>
        <v>3</v>
      </c>
      <c r="W45" s="1507">
        <f>OFFSET(W45,0,-1)+1</f>
        <v>4</v>
      </c>
      <c r="X45" s="1507">
        <f>OFFSET(X45,0,-1)+1</f>
        <v>5</v>
      </c>
      <c r="Y45" s="1507">
        <f>OFFSET(Y45,0,-1)+1</f>
        <v>6</v>
      </c>
      <c r="Z45" s="1507">
        <f>OFFSET(Z45,0,-1)+1</f>
        <v>7</v>
      </c>
      <c r="AA45" s="2328">
        <f>OFFSET(AA45,0,-1)+1</f>
        <v>8</v>
      </c>
      <c r="AB45" s="2328"/>
      <c r="AC45" s="1507">
        <f>OFFSET(AC45,0,-2)+1</f>
        <v>9</v>
      </c>
      <c r="AD45" s="1507">
        <f>OFFSET(AD45,0,-1)+1</f>
        <v>10</v>
      </c>
      <c r="AE45" s="1507"/>
      <c r="AF45" s="1507"/>
      <c r="AG45" s="1507"/>
      <c r="AH45" s="1507"/>
      <c r="AI45" s="1507"/>
      <c r="AJ45" s="1507"/>
      <c r="AK45" s="1507"/>
      <c r="AL45" s="1507"/>
      <c r="AM45" s="1507"/>
      <c r="AN45" s="1507"/>
      <c r="AO45" s="1507"/>
      <c r="AP45" s="1507"/>
      <c r="AQ45" s="1507"/>
      <c r="AR45" s="1507"/>
      <c r="AS45" s="1507"/>
      <c r="AT45" s="1507"/>
      <c r="AU45" s="1507"/>
      <c r="AV45" s="1507"/>
      <c r="AW45" s="1507">
        <f>OFFSET(AW45,0,-1)+1</f>
        <v>1</v>
      </c>
      <c r="AX45" s="1507">
        <f>OFFSET(AX45,0,-1)+1</f>
        <v>2</v>
      </c>
      <c r="AY45" s="2328">
        <f>OFFSET(AY45,0,-1)+1</f>
        <v>3</v>
      </c>
      <c r="AZ45" s="2328"/>
      <c r="BA45" s="1507">
        <f>OFFSET(BA45,0,-2)+1</f>
        <v>4</v>
      </c>
      <c r="BB45" s="1301">
        <f>OFFSET(BB45,0,-1)</f>
        <v>4</v>
      </c>
      <c r="BC45" s="1507">
        <f>OFFSET(BC45,0,-1)+1</f>
        <v>5</v>
      </c>
      <c r="BD45" s="567"/>
      <c r="BE45" s="567"/>
      <c r="BF45" s="567"/>
      <c r="BG45" s="567"/>
      <c r="BH45" s="567"/>
      <c r="BI45" s="552">
        <v>0</v>
      </c>
    </row>
    <row customHeight="1" ht="22.049999999999997">
      <c r="A46" s="1419" t="s">
        <v>378</v>
      </c>
      <c r="B46" s="1419"/>
      <c r="C46" s="1419"/>
      <c r="D46" s="1419"/>
      <c r="E46" s="2314">
        <v>1</v>
      </c>
      <c r="F46" s="1419"/>
      <c r="G46" s="1419"/>
      <c r="H46" s="1419"/>
      <c r="I46" s="1419"/>
      <c r="J46" s="1419"/>
      <c r="K46" s="1419"/>
      <c r="L46" s="1420"/>
      <c r="M46" s="1421"/>
      <c r="N46" s="1421"/>
      <c r="O46" s="1421"/>
      <c r="P46" s="1465"/>
      <c r="Q46" s="929"/>
      <c r="R46" s="411"/>
      <c r="S46" s="1513">
        <f>INDEX(PT_DIFFERENTIATION_NUM_NTAR,MATCH(A46,PT_DIFFERENTIATION_NTAR_ID,0))</f>
        <v>0</v>
      </c>
      <c r="T46" s="354" t="s">
        <v>202</v>
      </c>
      <c r="U46" s="356"/>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56"/>
      <c r="BF46" s="556" t="str">
        <f>IF(T46="","",T46)</f>
        <v>Наименование тарифа</v>
      </c>
      <c r="BG46" s="556"/>
      <c r="BH46" s="556"/>
      <c r="BI46" s="1211">
        <v>21</v>
      </c>
    </row>
    <row customHeight="1" ht="22.049999999999997">
      <c r="A47" s="1419" t="s">
        <v>378</v>
      </c>
      <c r="B47" s="1419" t="s">
        <v>379</v>
      </c>
      <c r="C47" s="1419"/>
      <c r="D47" s="1419"/>
      <c r="E47" s="2315"/>
      <c r="F47" s="2314">
        <v>1</v>
      </c>
      <c r="G47" s="1419"/>
      <c r="H47" s="1419"/>
      <c r="I47" s="1419"/>
      <c r="J47" s="1419"/>
      <c r="K47" s="1419"/>
      <c r="L47" s="1420"/>
      <c r="M47" s="1421"/>
      <c r="N47" s="1421"/>
      <c r="O47" s="1421"/>
      <c r="P47" s="1466"/>
      <c r="Q47" s="1467"/>
      <c r="R47" s="409"/>
      <c r="S47" s="1513" t="str">
        <f>INDEX(PT_DIFFERENTIATION_NUM_TER,MATCH(B47,PT_DIFFERENTIATION_TER_ID,0))</f>
        <v>.</v>
      </c>
      <c r="T47" s="364" t="s">
        <v>529</v>
      </c>
      <c r="U47" s="356"/>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314" t="s">
        <v>530</v>
      </c>
      <c r="BE47" s="556"/>
      <c r="BF47" s="556" t="str">
        <f>IF(T47="","",T47)</f>
        <v>Территория действия тарифа</v>
      </c>
      <c r="BG47" s="556"/>
      <c r="BH47" s="556"/>
      <c r="BI47" s="1211">
        <v>21</v>
      </c>
    </row>
    <row customHeight="1" ht="43.050000000000004">
      <c r="A48" s="1419" t="s">
        <v>378</v>
      </c>
      <c r="B48" s="1419" t="s">
        <v>379</v>
      </c>
      <c r="C48" s="1419" t="s">
        <v>380</v>
      </c>
      <c r="D48" s="1419"/>
      <c r="E48" s="2315"/>
      <c r="F48" s="2315"/>
      <c r="G48" s="2314">
        <v>1</v>
      </c>
      <c r="H48" s="1419"/>
      <c r="I48" s="1419"/>
      <c r="J48" s="1419"/>
      <c r="K48" s="1419"/>
      <c r="L48" s="1420"/>
      <c r="M48" s="1421"/>
      <c r="N48" s="1421"/>
      <c r="O48" s="1421"/>
      <c r="P48" s="1468"/>
      <c r="Q48" s="1467"/>
      <c r="R48" s="409"/>
      <c r="S48" s="1513" t="str">
        <f>INDEX(PT_DIFFERENTIATION_NUM_CS,MATCH(C48,PT_DIFFERENTIATION_CS_ID,0))</f>
        <v>..</v>
      </c>
      <c r="T48" s="365" t="s">
        <v>610</v>
      </c>
      <c r="U48" s="356"/>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314" t="s">
        <v>611</v>
      </c>
      <c r="BE48" s="556"/>
      <c r="BF48" s="556" t="str">
        <f>IF(T48="","",T48)</f>
        <v>Наименование централизованной системы холодного водоснабжения</v>
      </c>
      <c r="BG48" s="556"/>
      <c r="BH48" s="556"/>
      <c r="BI48" s="1211">
        <v>41</v>
      </c>
    </row>
    <row s="2851" customFormat="1" customHeight="1" ht="0">
      <c r="A49" s="1399" t="s">
        <v>378</v>
      </c>
      <c r="B49" s="1399" t="s">
        <v>379</v>
      </c>
      <c r="C49" s="1399" t="s">
        <v>380</v>
      </c>
      <c r="D49" s="1399" t="s">
        <v>648</v>
      </c>
      <c r="E49" s="2315"/>
      <c r="F49" s="2315"/>
      <c r="G49" s="2315"/>
      <c r="H49" s="2314">
        <v>1</v>
      </c>
      <c r="I49" s="1399"/>
      <c r="J49" s="1399"/>
      <c r="K49" s="1399"/>
      <c r="L49" s="1402"/>
      <c r="M49" s="1371"/>
      <c r="N49" s="1371"/>
      <c r="O49" s="1371"/>
      <c r="P49" s="1553"/>
      <c r="Q49" s="1554"/>
      <c r="R49" s="413"/>
      <c r="S49" s="1098"/>
      <c r="T49" s="1555"/>
      <c r="U49" s="1440"/>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441" t="s">
        <v>534</v>
      </c>
      <c r="BE49" s="556"/>
      <c r="BF49" s="556" t="str">
        <f>IF(T49="","",T49)</f>
        <v/>
      </c>
      <c r="BG49" s="556"/>
      <c r="BH49" s="556"/>
      <c r="BI49" s="567">
        <v>0</v>
      </c>
    </row>
    <row s="2851" customFormat="1" customHeight="1" ht="0">
      <c r="A50" s="1399" t="s">
        <v>378</v>
      </c>
      <c r="B50" s="1399" t="s">
        <v>379</v>
      </c>
      <c r="C50" s="1399" t="s">
        <v>380</v>
      </c>
      <c r="D50" s="1399" t="s">
        <v>648</v>
      </c>
      <c r="E50" s="2315"/>
      <c r="F50" s="2315"/>
      <c r="G50" s="2315"/>
      <c r="H50" s="2315"/>
      <c r="I50" s="2312" t="str">
        <f>S49&amp;".1"</f>
        <v>.1</v>
      </c>
      <c r="J50" s="1399"/>
      <c r="K50" s="1399"/>
      <c r="L50" s="1402" t="s">
        <v>535</v>
      </c>
      <c r="M50" s="566"/>
      <c r="N50" s="566"/>
      <c r="O50" s="566"/>
      <c r="P50" s="2313">
        <v>1</v>
      </c>
      <c r="Q50" s="1518"/>
      <c r="R50" s="412"/>
      <c r="S50" s="1098"/>
      <c r="T50" s="1439"/>
      <c r="U50" s="1440"/>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441"/>
      <c r="BE50" s="556"/>
      <c r="BF50" s="556" t="str">
        <f>IF(T50="","",T50)</f>
        <v/>
      </c>
      <c r="BG50" s="556"/>
      <c r="BH50" s="556"/>
      <c r="BI50" s="567">
        <v>0</v>
      </c>
    </row>
    <row s="2851" customFormat="1" customHeight="1" ht="0">
      <c r="A51" s="1399" t="s">
        <v>378</v>
      </c>
      <c r="B51" s="1399" t="s">
        <v>379</v>
      </c>
      <c r="C51" s="1399" t="s">
        <v>380</v>
      </c>
      <c r="D51" s="1399" t="s">
        <v>648</v>
      </c>
      <c r="E51" s="2315"/>
      <c r="F51" s="2315"/>
      <c r="G51" s="2315"/>
      <c r="H51" s="2315"/>
      <c r="I51" s="2342"/>
      <c r="J51" s="2312" t="str">
        <f>S49&amp;".1"</f>
        <v>.1</v>
      </c>
      <c r="K51" s="1399"/>
      <c r="L51" s="1402"/>
      <c r="M51" s="566"/>
      <c r="N51" s="566"/>
      <c r="O51" s="566"/>
      <c r="P51" s="2313"/>
      <c r="Q51" s="2313">
        <v>1</v>
      </c>
      <c r="R51" s="413"/>
      <c r="S51" s="1098"/>
      <c r="T51" s="1455"/>
      <c r="U51" s="1440"/>
      <c r="V51" s="2353"/>
      <c r="W51" s="2353"/>
      <c r="X51" s="2353"/>
      <c r="Y51" s="2353"/>
      <c r="Z51" s="2353"/>
      <c r="AA51" s="2353"/>
      <c r="AB51" s="2353"/>
      <c r="AC51" s="2354"/>
      <c r="AD51" s="2352"/>
      <c r="AE51" s="2353"/>
      <c r="AF51" s="2353"/>
      <c r="AG51" s="2353"/>
      <c r="AH51" s="2353"/>
      <c r="AI51" s="2353"/>
      <c r="AJ51" s="2353"/>
      <c r="AK51" s="2353"/>
      <c r="AL51" s="2353"/>
      <c r="AM51" s="2353"/>
      <c r="AN51" s="2420"/>
      <c r="AO51" s="2420"/>
      <c r="AP51" s="2353"/>
      <c r="AQ51" s="2353"/>
      <c r="AR51" s="2353"/>
      <c r="AS51" s="2353"/>
      <c r="AT51" s="2353"/>
      <c r="AU51" s="2353"/>
      <c r="AV51" s="2353"/>
      <c r="AW51" s="2353"/>
      <c r="AX51" s="2353"/>
      <c r="AY51" s="2353"/>
      <c r="AZ51" s="2353"/>
      <c r="BA51" s="2353"/>
      <c r="BB51" s="2354"/>
      <c r="BC51" s="1441"/>
      <c r="BE51" s="556"/>
      <c r="BF51" s="556" t="str">
        <f>IF(T51="","",T51)</f>
        <v/>
      </c>
      <c r="BG51" s="556"/>
      <c r="BH51" s="556"/>
      <c r="BI51" s="567">
        <v>0</v>
      </c>
    </row>
    <row customHeight="1" ht="11.549999999999999">
      <c r="A52" s="1419" t="s">
        <v>378</v>
      </c>
      <c r="B52" s="1419" t="s">
        <v>379</v>
      </c>
      <c r="C52" s="1419" t="s">
        <v>380</v>
      </c>
      <c r="D52" s="1419" t="s">
        <v>648</v>
      </c>
      <c r="E52" s="2315"/>
      <c r="F52" s="2315"/>
      <c r="G52" s="2315"/>
      <c r="H52" s="2315"/>
      <c r="I52" s="2342"/>
      <c r="J52" s="2342"/>
      <c r="K52" s="2312" t="str">
        <f>S48&amp;".1"</f>
        <v>...1</v>
      </c>
      <c r="L52" s="1420"/>
      <c r="P52" s="2313"/>
      <c r="Q52" s="2313"/>
      <c r="R52" s="413">
        <v>1</v>
      </c>
      <c r="S52" s="2397" t="str">
        <f>$K52</f>
        <v>...1</v>
      </c>
      <c r="T52" s="2416"/>
      <c r="U52" s="356"/>
      <c r="V52" s="807"/>
      <c r="W52" s="1313"/>
      <c r="X52" s="807"/>
      <c r="Y52" s="1313"/>
      <c r="Z52" s="1790"/>
      <c r="AA52" s="1515" t="s">
        <v>65</v>
      </c>
      <c r="AB52" s="1790"/>
      <c r="AC52" s="1515" t="s">
        <v>65</v>
      </c>
      <c r="AD52" s="2241" t="s">
        <v>65</v>
      </c>
      <c r="AE52" s="2382"/>
      <c r="AF52" s="2261">
        <v>1</v>
      </c>
      <c r="AG52" s="2419"/>
      <c r="AH52" s="2163" t="s">
        <v>65</v>
      </c>
      <c r="AI52" s="2382"/>
      <c r="AJ52" s="2261">
        <v>1</v>
      </c>
      <c r="AK52" s="2383" t="s">
        <v>28</v>
      </c>
      <c r="AL52" s="2163" t="s">
        <v>65</v>
      </c>
      <c r="AM52" s="2248"/>
      <c r="AN52" s="2261">
        <v>1</v>
      </c>
      <c r="AO52" s="2413"/>
      <c r="AP52" s="2414" t="s">
        <v>65</v>
      </c>
      <c r="AQ52" s="367"/>
      <c r="AR52" s="1519">
        <v>1</v>
      </c>
      <c r="AS52" s="1522" t="s">
        <v>28</v>
      </c>
      <c r="AT52" s="807"/>
      <c r="AU52" s="1313"/>
      <c r="AV52" s="807"/>
      <c r="AW52" s="1313"/>
      <c r="AX52" s="1790"/>
      <c r="AY52" s="1515" t="s">
        <v>65</v>
      </c>
      <c r="AZ52" s="1790"/>
      <c r="BA52" s="1515" t="s">
        <v>65</v>
      </c>
      <c r="BB52" s="1404"/>
      <c r="BC52" s="2309" t="s">
        <v>634</v>
      </c>
      <c r="BE52" s="556"/>
      <c r="BF52" s="556" t="str">
        <f>IF(T52="","",T52)</f>
        <v/>
      </c>
      <c r="BG52" s="556"/>
      <c r="BH52" s="556"/>
      <c r="BI52" s="1211">
        <v>11</v>
      </c>
    </row>
    <row customHeight="1" ht="11.549999999999999">
      <c r="A53" s="1419"/>
      <c r="B53" s="1419"/>
      <c r="C53" s="1419"/>
      <c r="D53" s="1419"/>
      <c r="E53" s="2315"/>
      <c r="F53" s="2315"/>
      <c r="G53" s="2315"/>
      <c r="H53" s="2315"/>
      <c r="I53" s="2342"/>
      <c r="J53" s="2342"/>
      <c r="K53" s="2312"/>
      <c r="L53" s="1420"/>
      <c r="P53" s="2313"/>
      <c r="Q53" s="2313"/>
      <c r="R53" s="413"/>
      <c r="S53" s="2398"/>
      <c r="T53" s="2417"/>
      <c r="U53" s="356"/>
      <c r="V53" s="1449"/>
      <c r="W53" s="1552"/>
      <c r="X53" s="1449"/>
      <c r="Y53" s="1552"/>
      <c r="Z53" s="1449"/>
      <c r="AA53" s="1449"/>
      <c r="AB53" s="1449"/>
      <c r="AC53" s="1449"/>
      <c r="AD53" s="2242"/>
      <c r="AE53" s="2382"/>
      <c r="AF53" s="2261"/>
      <c r="AG53" s="2419"/>
      <c r="AH53" s="2163"/>
      <c r="AI53" s="2382"/>
      <c r="AJ53" s="2261"/>
      <c r="AK53" s="2383"/>
      <c r="AL53" s="2163"/>
      <c r="AM53" s="2256"/>
      <c r="AN53" s="2261"/>
      <c r="AO53" s="2413"/>
      <c r="AP53" s="2415"/>
      <c r="AQ53" s="372"/>
      <c r="AR53" s="472"/>
      <c r="AS53" s="472" t="s">
        <v>635</v>
      </c>
      <c r="AT53" s="1449"/>
      <c r="AU53" s="1552"/>
      <c r="AV53" s="1449"/>
      <c r="AW53" s="1552"/>
      <c r="AX53" s="1449"/>
      <c r="AY53" s="1449"/>
      <c r="AZ53" s="1449"/>
      <c r="BA53" s="1449"/>
      <c r="BB53" s="1453"/>
      <c r="BC53" s="2310"/>
      <c r="BE53" s="556"/>
      <c r="BF53" s="556"/>
      <c r="BG53" s="556"/>
      <c r="BH53" s="556"/>
      <c r="BI53" s="1211">
        <v>11</v>
      </c>
    </row>
    <row customHeight="1" ht="11.549999999999999">
      <c r="A54" s="1419" t="s">
        <v>378</v>
      </c>
      <c r="B54" s="1419"/>
      <c r="C54" s="1419"/>
      <c r="D54" s="1419"/>
      <c r="E54" s="2315"/>
      <c r="F54" s="2315"/>
      <c r="G54" s="2315"/>
      <c r="H54" s="2315"/>
      <c r="I54" s="2342"/>
      <c r="J54" s="2342"/>
      <c r="K54" s="2312"/>
      <c r="L54" s="1420"/>
      <c r="P54" s="2313"/>
      <c r="Q54" s="2313"/>
      <c r="R54" s="413"/>
      <c r="S54" s="2398"/>
      <c r="T54" s="2417"/>
      <c r="U54" s="356"/>
      <c r="V54" s="1449"/>
      <c r="W54" s="1552"/>
      <c r="X54" s="1449"/>
      <c r="Y54" s="1552"/>
      <c r="Z54" s="1449"/>
      <c r="AA54" s="1449"/>
      <c r="AB54" s="1449"/>
      <c r="AC54" s="1449"/>
      <c r="AD54" s="2242"/>
      <c r="AE54" s="2382"/>
      <c r="AF54" s="2261"/>
      <c r="AG54" s="2419"/>
      <c r="AH54" s="2163"/>
      <c r="AI54" s="2382"/>
      <c r="AJ54" s="2261"/>
      <c r="AK54" s="2383"/>
      <c r="AL54" s="2163"/>
      <c r="AM54" s="372"/>
      <c r="AN54" s="1556"/>
      <c r="AO54" s="1556" t="s">
        <v>636</v>
      </c>
      <c r="AP54" s="472"/>
      <c r="AQ54" s="472"/>
      <c r="AR54" s="472"/>
      <c r="AS54" s="1449"/>
      <c r="AT54" s="1449"/>
      <c r="AU54" s="1552"/>
      <c r="AV54" s="1449"/>
      <c r="AW54" s="1552"/>
      <c r="AX54" s="1449"/>
      <c r="AY54" s="1449"/>
      <c r="AZ54" s="1449"/>
      <c r="BA54" s="1449"/>
      <c r="BB54" s="1453"/>
      <c r="BC54" s="2310"/>
      <c r="BE54" s="556"/>
      <c r="BF54" s="556"/>
      <c r="BG54" s="556"/>
      <c r="BH54" s="556"/>
      <c r="BI54" s="1211">
        <v>11</v>
      </c>
    </row>
    <row customHeight="1" ht="11.549999999999999">
      <c r="A55" s="1419" t="s">
        <v>378</v>
      </c>
      <c r="B55" s="1419"/>
      <c r="C55" s="1419"/>
      <c r="D55" s="1419"/>
      <c r="E55" s="2315"/>
      <c r="F55" s="2315"/>
      <c r="G55" s="2315"/>
      <c r="H55" s="2315"/>
      <c r="I55" s="2342"/>
      <c r="J55" s="2342"/>
      <c r="K55" s="2312"/>
      <c r="L55" s="1420"/>
      <c r="P55" s="2313"/>
      <c r="Q55" s="2313"/>
      <c r="R55" s="413"/>
      <c r="S55" s="2398"/>
      <c r="T55" s="2417"/>
      <c r="U55" s="356"/>
      <c r="V55" s="1449"/>
      <c r="W55" s="1552"/>
      <c r="X55" s="1449"/>
      <c r="Y55" s="1552"/>
      <c r="Z55" s="1449"/>
      <c r="AA55" s="1449"/>
      <c r="AB55" s="1449"/>
      <c r="AC55" s="1449"/>
      <c r="AD55" s="2242"/>
      <c r="AE55" s="2382"/>
      <c r="AF55" s="2261"/>
      <c r="AG55" s="2419"/>
      <c r="AH55" s="2163"/>
      <c r="AI55" s="350"/>
      <c r="AJ55" s="471"/>
      <c r="AK55" s="369" t="s">
        <v>637</v>
      </c>
      <c r="AL55" s="1449"/>
      <c r="AM55" s="1449"/>
      <c r="AN55" s="1449"/>
      <c r="AO55" s="1449"/>
      <c r="AP55" s="1449"/>
      <c r="AQ55" s="1449"/>
      <c r="AR55" s="1449"/>
      <c r="AS55" s="1449"/>
      <c r="AT55" s="1449"/>
      <c r="AU55" s="1552"/>
      <c r="AV55" s="1449"/>
      <c r="AW55" s="1552"/>
      <c r="AX55" s="1449"/>
      <c r="AY55" s="1449"/>
      <c r="AZ55" s="1449"/>
      <c r="BA55" s="1449"/>
      <c r="BB55" s="1453"/>
      <c r="BC55" s="2310"/>
      <c r="BE55" s="556"/>
      <c r="BF55" s="556"/>
      <c r="BG55" s="556"/>
      <c r="BH55" s="556"/>
      <c r="BI55" s="1211">
        <v>11</v>
      </c>
    </row>
    <row customHeight="1" ht="11.549999999999999">
      <c r="A56" s="1419" t="s">
        <v>378</v>
      </c>
      <c r="B56" s="1419" t="s">
        <v>379</v>
      </c>
      <c r="C56" s="1419" t="s">
        <v>380</v>
      </c>
      <c r="D56" s="1419" t="s">
        <v>648</v>
      </c>
      <c r="E56" s="2315"/>
      <c r="F56" s="2315"/>
      <c r="G56" s="2315"/>
      <c r="H56" s="2315"/>
      <c r="I56" s="2342"/>
      <c r="J56" s="2342"/>
      <c r="K56" s="2312"/>
      <c r="L56" s="1420"/>
      <c r="P56" s="2313"/>
      <c r="Q56" s="2313"/>
      <c r="R56" s="413"/>
      <c r="S56" s="2399"/>
      <c r="T56" s="2418"/>
      <c r="U56" s="356"/>
      <c r="V56" s="1449"/>
      <c r="W56" s="1450" t="str">
        <f>Z52&amp;"-"&amp;AB52</f>
        <v>-</v>
      </c>
      <c r="X56" s="1449"/>
      <c r="Y56" s="1450" t="str">
        <f>AB52&amp;"-"&amp;AD52</f>
        <v>-да</v>
      </c>
      <c r="Z56" s="1449"/>
      <c r="AA56" s="1449"/>
      <c r="AB56" s="1449"/>
      <c r="AC56" s="1449"/>
      <c r="AD56" s="2168"/>
      <c r="AE56" s="368"/>
      <c r="AF56" s="370"/>
      <c r="AG56" s="472" t="s">
        <v>638</v>
      </c>
      <c r="AH56" s="1449"/>
      <c r="AI56" s="1449"/>
      <c r="AJ56" s="1449"/>
      <c r="AK56" s="1449"/>
      <c r="AL56" s="1449"/>
      <c r="AM56" s="1449"/>
      <c r="AN56" s="1449"/>
      <c r="AO56" s="1449"/>
      <c r="AP56" s="1449"/>
      <c r="AQ56" s="1449"/>
      <c r="AR56" s="1449"/>
      <c r="AS56" s="1449"/>
      <c r="AT56" s="1449"/>
      <c r="AU56" s="1450" t="str">
        <f>AX52&amp;"-"&amp;AZ52</f>
        <v>-</v>
      </c>
      <c r="AV56" s="1449"/>
      <c r="AW56" s="1450" t="str">
        <f>AZ52&amp;"-"&amp;BB52</f>
        <v>-</v>
      </c>
      <c r="AX56" s="1449"/>
      <c r="AY56" s="1449"/>
      <c r="AZ56" s="1449"/>
      <c r="BA56" s="1449"/>
      <c r="BB56" s="1452" t="str">
        <f>BE52&amp;"-"&amp;BG52</f>
        <v>-</v>
      </c>
      <c r="BC56" s="2310"/>
      <c r="BE56" s="556"/>
      <c r="BF56" s="556" t="str">
        <f>IF(T56="","",T56)</f>
        <v/>
      </c>
      <c r="BG56" s="556"/>
      <c r="BH56" s="556"/>
      <c r="BI56" s="1211">
        <v>11</v>
      </c>
    </row>
    <row customHeight="1" ht="11.549999999999999">
      <c r="A57" s="1419" t="s">
        <v>378</v>
      </c>
      <c r="B57" s="1419" t="s">
        <v>379</v>
      </c>
      <c r="C57" s="1419" t="s">
        <v>380</v>
      </c>
      <c r="D57" s="1419" t="s">
        <v>648</v>
      </c>
      <c r="E57" s="2315"/>
      <c r="F57" s="2315"/>
      <c r="G57" s="2315"/>
      <c r="H57" s="2315"/>
      <c r="I57" s="2342"/>
      <c r="J57" s="2312"/>
      <c r="K57" s="1419"/>
      <c r="L57" s="1420"/>
      <c r="P57" s="2313"/>
      <c r="Q57" s="2313"/>
      <c r="R57" s="412"/>
      <c r="S57" s="1334"/>
      <c r="T57" s="343" t="s">
        <v>597</v>
      </c>
      <c r="U57" s="423"/>
      <c r="V57" s="423"/>
      <c r="W57" s="423"/>
      <c r="X57" s="423"/>
      <c r="Y57" s="423"/>
      <c r="Z57" s="423"/>
      <c r="AA57" s="423"/>
      <c r="AB57" s="423"/>
      <c r="AC57" s="380"/>
      <c r="AD57" s="1561"/>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380"/>
      <c r="BC57" s="2311"/>
      <c r="BE57" s="556"/>
      <c r="BF57" s="556" t="str">
        <f>IF(T57="","",T57)</f>
        <v>Добавить строку</v>
      </c>
      <c r="BG57" s="556"/>
      <c r="BH57" s="556"/>
      <c r="BI57" s="1211">
        <v>11</v>
      </c>
    </row>
    <row s="2851" customFormat="1" customHeight="1" ht="0">
      <c r="A58" s="1399" t="s">
        <v>378</v>
      </c>
      <c r="B58" s="1399" t="s">
        <v>379</v>
      </c>
      <c r="C58" s="1399" t="s">
        <v>380</v>
      </c>
      <c r="D58" s="1399" t="s">
        <v>648</v>
      </c>
      <c r="E58" s="2315"/>
      <c r="F58" s="2315"/>
      <c r="G58" s="2315"/>
      <c r="H58" s="2315"/>
      <c r="I58" s="2312"/>
      <c r="J58" s="1399"/>
      <c r="K58" s="1399"/>
      <c r="L58" s="1402"/>
      <c r="M58" s="566"/>
      <c r="N58" s="566"/>
      <c r="O58" s="566"/>
      <c r="P58" s="2313"/>
      <c r="Q58" s="1518"/>
      <c r="R58" s="412"/>
      <c r="S58" s="1442"/>
      <c r="T58" s="1443"/>
      <c r="U58" s="1444"/>
      <c r="V58" s="1444"/>
      <c r="W58" s="1444"/>
      <c r="X58" s="1444"/>
      <c r="Y58" s="1444"/>
      <c r="Z58" s="1444"/>
      <c r="AA58" s="1444"/>
      <c r="AB58" s="1444"/>
      <c r="AC58" s="1444"/>
      <c r="AD58" s="1444"/>
      <c r="AE58" s="1444"/>
      <c r="AF58" s="1444"/>
      <c r="AG58" s="1444"/>
      <c r="AH58" s="1444"/>
      <c r="AI58" s="1444"/>
      <c r="AJ58" s="1444"/>
      <c r="AK58" s="1444"/>
      <c r="AL58" s="1444"/>
      <c r="AM58" s="1444"/>
      <c r="AN58" s="1444"/>
      <c r="AO58" s="1444"/>
      <c r="AP58" s="1444"/>
      <c r="AQ58" s="1444"/>
      <c r="AR58" s="1444"/>
      <c r="AS58" s="1444"/>
      <c r="AT58" s="1444"/>
      <c r="AU58" s="1444"/>
      <c r="AV58" s="1444"/>
      <c r="AW58" s="1444"/>
      <c r="AX58" s="1444"/>
      <c r="AY58" s="1444"/>
      <c r="AZ58" s="1444"/>
      <c r="BA58" s="1444"/>
      <c r="BB58" s="1444"/>
      <c r="BC58" s="1445"/>
      <c r="BE58" s="556"/>
      <c r="BF58" s="556" t="str">
        <f>IF(T58="","",T58)</f>
        <v/>
      </c>
      <c r="BG58" s="556"/>
      <c r="BH58" s="556"/>
      <c r="BI58" s="567">
        <v>0</v>
      </c>
    </row>
    <row s="2851" customFormat="1" customHeight="1" ht="0">
      <c r="A59" s="1399" t="s">
        <v>378</v>
      </c>
      <c r="B59" s="1399" t="s">
        <v>379</v>
      </c>
      <c r="C59" s="1399" t="s">
        <v>380</v>
      </c>
      <c r="D59" s="1399" t="s">
        <v>648</v>
      </c>
      <c r="E59" s="2315"/>
      <c r="F59" s="2315"/>
      <c r="G59" s="2315"/>
      <c r="H59" s="2314"/>
      <c r="I59" s="1399"/>
      <c r="J59" s="1399"/>
      <c r="K59" s="1399"/>
      <c r="L59" s="1402"/>
      <c r="M59" s="1371"/>
      <c r="N59" s="1371"/>
      <c r="O59" s="574"/>
      <c r="P59" s="436"/>
      <c r="Q59" s="1400"/>
      <c r="R59" s="1457"/>
      <c r="S59" s="1442"/>
      <c r="T59" s="1443"/>
      <c r="U59" s="1444"/>
      <c r="V59" s="1444"/>
      <c r="W59" s="1444"/>
      <c r="X59" s="1444"/>
      <c r="Y59" s="1444"/>
      <c r="Z59" s="1444"/>
      <c r="AA59" s="1444"/>
      <c r="AB59" s="1444"/>
      <c r="AC59" s="1444"/>
      <c r="AD59" s="1444"/>
      <c r="AE59" s="1444"/>
      <c r="AF59" s="1444"/>
      <c r="AG59" s="1444"/>
      <c r="AH59" s="1444"/>
      <c r="AI59" s="1444"/>
      <c r="AJ59" s="1444"/>
      <c r="AK59" s="1444"/>
      <c r="AL59" s="1444"/>
      <c r="AM59" s="1444"/>
      <c r="AN59" s="1444"/>
      <c r="AO59" s="1444"/>
      <c r="AP59" s="1444"/>
      <c r="AQ59" s="1444"/>
      <c r="AR59" s="1444"/>
      <c r="AS59" s="1444"/>
      <c r="AT59" s="1444"/>
      <c r="AU59" s="1444"/>
      <c r="AV59" s="1444"/>
      <c r="AW59" s="1444"/>
      <c r="AX59" s="1444"/>
      <c r="AY59" s="1444"/>
      <c r="AZ59" s="1444"/>
      <c r="BA59" s="1444"/>
      <c r="BB59" s="1444"/>
      <c r="BC59" s="1445"/>
      <c r="BE59" s="556"/>
      <c r="BF59" s="556" t="str">
        <f>IF(T59="","",T59)</f>
        <v/>
      </c>
      <c r="BG59" s="556"/>
      <c r="BH59" s="556"/>
      <c r="BI59" s="567">
        <v>0</v>
      </c>
    </row>
    <row s="2851" customFormat="1" customHeight="1" ht="0">
      <c r="A60" s="1399" t="s">
        <v>378</v>
      </c>
      <c r="B60" s="1399" t="s">
        <v>379</v>
      </c>
      <c r="C60" s="1399" t="s">
        <v>380</v>
      </c>
      <c r="D60" s="1370"/>
      <c r="E60" s="2315"/>
      <c r="F60" s="2315"/>
      <c r="G60" s="2314"/>
      <c r="H60" s="1370"/>
      <c r="I60" s="1370"/>
      <c r="J60" s="1370"/>
      <c r="K60" s="1370"/>
      <c r="L60" s="1520"/>
      <c r="M60" s="1371"/>
      <c r="N60" s="1371"/>
      <c r="P60" s="1372"/>
      <c r="Q60" s="1373"/>
      <c r="R60" s="1372"/>
      <c r="S60" s="1378"/>
      <c r="T60" s="1381"/>
      <c r="U60" s="1380"/>
      <c r="V60" s="1380"/>
      <c r="W60" s="1380"/>
      <c r="X60" s="1380"/>
      <c r="Y60" s="1380"/>
      <c r="Z60" s="1380"/>
      <c r="AA60" s="1380"/>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V60" s="1380"/>
      <c r="AW60" s="1380"/>
      <c r="AX60" s="1380"/>
      <c r="AY60" s="1380"/>
      <c r="AZ60" s="1380"/>
      <c r="BA60" s="1380"/>
      <c r="BB60" s="1380"/>
      <c r="BC60" s="1380"/>
      <c r="BE60" s="845"/>
      <c r="BF60" s="845" t="str">
        <f>IF(T60="","",T60)</f>
        <v/>
      </c>
      <c r="BG60" s="845"/>
      <c r="BH60" s="845"/>
      <c r="BI60" s="574">
        <v>0</v>
      </c>
    </row>
    <row s="2851" customFormat="1" customHeight="1" ht="0">
      <c r="A61" s="1399" t="s">
        <v>378</v>
      </c>
      <c r="B61" s="1399" t="s">
        <v>379</v>
      </c>
      <c r="C61" s="1370"/>
      <c r="D61" s="1370"/>
      <c r="E61" s="2315"/>
      <c r="F61" s="2314"/>
      <c r="G61" s="1370"/>
      <c r="H61" s="1370"/>
      <c r="I61" s="1370"/>
      <c r="J61" s="1370"/>
      <c r="K61" s="1370"/>
      <c r="L61" s="1520"/>
      <c r="M61" s="1377"/>
      <c r="N61" s="1377"/>
      <c r="P61" s="1372"/>
      <c r="Q61" s="1373"/>
      <c r="R61" s="1372"/>
      <c r="S61" s="1378"/>
      <c r="T61" s="1381" t="s">
        <v>302</v>
      </c>
      <c r="U61" s="1380"/>
      <c r="V61" s="1380"/>
      <c r="W61" s="1380"/>
      <c r="X61" s="1380"/>
      <c r="Y61" s="1380"/>
      <c r="Z61" s="1380"/>
      <c r="AA61" s="1380"/>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V61" s="1380"/>
      <c r="AW61" s="1380"/>
      <c r="AX61" s="1380"/>
      <c r="AY61" s="1380"/>
      <c r="AZ61" s="1380"/>
      <c r="BA61" s="1380"/>
      <c r="BB61" s="1380"/>
      <c r="BC61" s="1380"/>
      <c r="BE61" s="845"/>
      <c r="BF61" s="845" t="str">
        <f>IF(T61="","",T61)</f>
        <v>Добавить централизованную систему для дифференциации</v>
      </c>
      <c r="BG61" s="845"/>
      <c r="BH61" s="845"/>
      <c r="BI61" s="574">
        <v>0</v>
      </c>
    </row>
    <row s="2851" customFormat="1" customHeight="1" ht="0">
      <c r="A62" s="1399" t="s">
        <v>378</v>
      </c>
      <c r="B62" s="1399"/>
      <c r="C62" s="1399"/>
      <c r="D62" s="1399"/>
      <c r="E62" s="2314"/>
      <c r="F62" s="1399"/>
      <c r="G62" s="1399"/>
      <c r="H62" s="1399"/>
      <c r="I62" s="1399"/>
      <c r="J62" s="1399"/>
      <c r="K62" s="1399"/>
      <c r="L62" s="1402"/>
      <c r="M62" s="1377"/>
      <c r="N62" s="1377"/>
      <c r="O62" s="574"/>
      <c r="P62" s="436"/>
      <c r="Q62" s="1400"/>
      <c r="R62" s="436"/>
      <c r="S62" s="1378"/>
      <c r="T62" s="1381" t="s">
        <v>359</v>
      </c>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E62" s="556"/>
      <c r="BF62" s="556" t="str">
        <f>IF(T62="","",T62)</f>
        <v>Добавить территорию для дифференциации</v>
      </c>
      <c r="BG62" s="556"/>
      <c r="BH62" s="556"/>
      <c r="BI62" s="567">
        <v>0</v>
      </c>
    </row>
    <row s="2851" customFormat="1" customHeight="1" ht="0">
      <c r="A63" s="1370"/>
      <c r="B63" s="1370"/>
      <c r="C63" s="1370"/>
      <c r="D63" s="1370"/>
      <c r="E63" s="1399"/>
      <c r="F63" s="1370"/>
      <c r="G63" s="1370"/>
      <c r="H63" s="1370"/>
      <c r="I63" s="1370"/>
      <c r="J63" s="1370"/>
      <c r="K63" s="1370"/>
      <c r="L63" s="1520"/>
      <c r="M63" s="1377"/>
      <c r="N63" s="1377"/>
      <c r="P63" s="1372"/>
      <c r="Q63" s="1373"/>
      <c r="R63" s="1372"/>
      <c r="S63" s="1378"/>
      <c r="T63" s="1381" t="s">
        <v>360</v>
      </c>
      <c r="U63" s="1380"/>
      <c r="V63" s="1380"/>
      <c r="W63" s="1380"/>
      <c r="X63" s="1380"/>
      <c r="Y63" s="1380"/>
      <c r="Z63" s="1380"/>
      <c r="AA63" s="1380"/>
      <c r="AB63" s="1380"/>
      <c r="AC63" s="1380"/>
      <c r="AD63" s="1380"/>
      <c r="AE63" s="1380"/>
      <c r="AF63" s="1380"/>
      <c r="AG63" s="1380"/>
      <c r="AH63" s="1380"/>
      <c r="AI63" s="1380"/>
      <c r="AJ63" s="1380"/>
      <c r="AK63" s="1380"/>
      <c r="AL63" s="1380"/>
      <c r="AM63" s="1380"/>
      <c r="AN63" s="1380"/>
      <c r="AO63" s="1380"/>
      <c r="AP63" s="1380"/>
      <c r="AQ63" s="1380"/>
      <c r="AR63" s="1380"/>
      <c r="AS63" s="1380"/>
      <c r="AT63" s="1380"/>
      <c r="AU63" s="1380"/>
      <c r="AV63" s="1380"/>
      <c r="AW63" s="1380"/>
      <c r="AX63" s="1380"/>
      <c r="AY63" s="1380"/>
      <c r="AZ63" s="1380"/>
      <c r="BA63" s="1380"/>
      <c r="BB63" s="1380"/>
      <c r="BC63" s="1380"/>
      <c r="BE63" s="845"/>
      <c r="BF63" s="845" t="str">
        <f>IF(T63="","",T63)</f>
        <v>Добавить наименование тарифа</v>
      </c>
      <c r="BG63" s="845"/>
      <c r="BH63" s="845"/>
      <c r="BI63" s="574">
        <v>0</v>
      </c>
    </row>
    <row customHeight="1" ht="11.549999999999999">
      <c r="M64" s="1216"/>
      <c r="N64" s="1216"/>
      <c r="O64" s="593"/>
      <c r="P64" s="1216"/>
      <c r="Q64" s="1216"/>
      <c r="R64" s="1211"/>
      <c r="S64" s="1211"/>
      <c r="BD64" s="1211"/>
      <c r="BE64" s="1211"/>
      <c r="BF64" s="1211"/>
      <c r="BG64" s="1211"/>
      <c r="BH64" s="1211"/>
      <c r="BI64" s="1211">
        <v>11</v>
      </c>
    </row>
    <row customHeight="1" ht="19.95">
      <c r="O65" s="593"/>
      <c r="S65" s="130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211">
        <v>19</v>
      </c>
    </row>
    <row customHeight="1" ht="14.699999999999998">
      <c r="O66" s="593"/>
      <c r="T66" s="1505"/>
      <c r="U66" s="1505"/>
      <c r="V66" s="1505"/>
      <c r="W66" s="1505"/>
      <c r="X66" s="1505"/>
      <c r="Y66" s="1505"/>
      <c r="Z66" s="1505"/>
      <c r="AA66" s="1505"/>
      <c r="AB66" s="1505"/>
      <c r="AC66" s="1505"/>
      <c r="AD66" s="1505"/>
      <c r="AE66" s="1505"/>
      <c r="AF66" s="1505"/>
      <c r="AG66" s="1505"/>
      <c r="AH66" s="1505"/>
      <c r="AI66" s="1505"/>
      <c r="AJ66" s="1505"/>
      <c r="AK66" s="1505"/>
      <c r="AL66" s="1505"/>
      <c r="AM66" s="1505"/>
      <c r="AN66" s="1505"/>
      <c r="AO66" s="1505"/>
      <c r="AP66" s="1505"/>
      <c r="AQ66" s="1505"/>
      <c r="AR66" s="1505"/>
      <c r="AS66" s="1505"/>
      <c r="AT66" s="1505"/>
      <c r="AU66" s="1505"/>
      <c r="AV66" s="1505"/>
      <c r="AW66" s="1505"/>
      <c r="AX66" s="1505"/>
      <c r="AY66" s="1505"/>
      <c r="AZ66" s="1505"/>
      <c r="BA66" s="1505"/>
      <c r="BB66" s="1505"/>
      <c r="BC66" s="1505"/>
      <c r="BI66" s="1211">
        <v>14</v>
      </c>
    </row>
    <row customHeight="1" ht="19.95">
      <c r="O67" s="593"/>
      <c r="S67" s="130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211">
        <v>19</v>
      </c>
    </row>
    <row customHeight="1" ht="14.699999999999998">
      <c r="O68" s="593"/>
      <c r="BI68" s="1211">
        <v>14</v>
      </c>
    </row>
    <row customHeight="1" ht="14.25" hidden="1">
      <c r="A69" s="1216" t="s">
        <v>86</v>
      </c>
      <c r="B69" s="1216">
        <v>0</v>
      </c>
      <c r="C69" s="1216">
        <v>0</v>
      </c>
      <c r="D69" s="1216">
        <v>0</v>
      </c>
      <c r="E69" s="1216">
        <v>0</v>
      </c>
      <c r="F69" s="1216">
        <v>0</v>
      </c>
      <c r="G69" s="1216">
        <v>0</v>
      </c>
      <c r="H69" s="1216">
        <v>0</v>
      </c>
      <c r="I69" s="1216">
        <v>0</v>
      </c>
      <c r="J69" s="1216">
        <v>0</v>
      </c>
      <c r="K69" s="1216">
        <v>0</v>
      </c>
      <c r="L69" s="1517">
        <v>0</v>
      </c>
      <c r="M69" s="1418">
        <v>0</v>
      </c>
      <c r="N69" s="1418">
        <v>0</v>
      </c>
      <c r="O69" s="1418">
        <v>0</v>
      </c>
      <c r="P69" s="1418">
        <v>0</v>
      </c>
      <c r="Q69" s="1427">
        <v>0</v>
      </c>
      <c r="R69" s="400">
        <v>3</v>
      </c>
      <c r="S69" s="637">
        <v>12</v>
      </c>
      <c r="T69" s="1211">
        <v>31</v>
      </c>
      <c r="U69" s="1211">
        <v>0</v>
      </c>
      <c r="V69" s="1211">
        <v>0</v>
      </c>
      <c r="W69" s="1211">
        <v>0</v>
      </c>
      <c r="X69" s="1211">
        <v>0</v>
      </c>
      <c r="Y69" s="1211">
        <v>0</v>
      </c>
      <c r="Z69" s="1211">
        <v>0</v>
      </c>
      <c r="AA69" s="1211">
        <v>0</v>
      </c>
      <c r="AB69" s="1211">
        <v>0</v>
      </c>
      <c r="AC69" s="1211">
        <v>0</v>
      </c>
      <c r="AD69" s="1211">
        <v>3</v>
      </c>
      <c r="AE69" s="1211">
        <v>3</v>
      </c>
      <c r="AF69" s="1211">
        <v>3</v>
      </c>
      <c r="AG69" s="1211">
        <v>24</v>
      </c>
      <c r="AH69" s="1211">
        <v>3</v>
      </c>
      <c r="AI69" s="1211">
        <v>3</v>
      </c>
      <c r="AJ69" s="1211">
        <v>3</v>
      </c>
      <c r="AK69" s="1211">
        <v>24</v>
      </c>
      <c r="AL69" s="1211">
        <v>3</v>
      </c>
      <c r="AM69" s="1211">
        <v>3</v>
      </c>
      <c r="AN69" s="1211">
        <v>3</v>
      </c>
      <c r="AO69" s="1211">
        <v>18</v>
      </c>
      <c r="AP69" s="1211">
        <v>3</v>
      </c>
      <c r="AQ69" s="1211">
        <v>3</v>
      </c>
      <c r="AR69" s="1211">
        <v>3</v>
      </c>
      <c r="AS69" s="1211">
        <v>18</v>
      </c>
      <c r="AT69" s="1211">
        <v>21</v>
      </c>
      <c r="AU69" s="1211">
        <v>21</v>
      </c>
      <c r="AV69" s="1211">
        <v>21</v>
      </c>
      <c r="AW69" s="1211">
        <v>21</v>
      </c>
      <c r="AX69" s="1211">
        <v>11</v>
      </c>
      <c r="AY69" s="1211">
        <v>3</v>
      </c>
      <c r="AZ69" s="1211">
        <v>11</v>
      </c>
      <c r="BA69" s="1211">
        <v>0</v>
      </c>
      <c r="BB69" s="1211">
        <v>4</v>
      </c>
      <c r="BC69" s="1211">
        <v>115</v>
      </c>
      <c r="BD69" s="567">
        <v>10</v>
      </c>
      <c r="BE69" s="567">
        <v>10</v>
      </c>
      <c r="BF69" s="567">
        <v>10</v>
      </c>
      <c r="BG69" s="567">
        <v>10</v>
      </c>
      <c r="BH69" s="567">
        <v>10</v>
      </c>
      <c r="BI69" s="1211">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C10F77-ADF1-4D0B-EA33-34E12BC38D2C}"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22.5" hidden="1">
      <c r="X1" s="383"/>
      <c r="Y1" s="383"/>
      <c r="AE1" s="383"/>
      <c r="AF1" s="383"/>
      <c r="AQ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49">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2300"/>
      <c r="AK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56"/>
      <c r="AN2" s="556" t="str">
        <f>IF(T2="","",T2)</f>
        <v>Наименование тарифа</v>
      </c>
      <c r="AO2" s="556"/>
      <c r="AP2" s="556"/>
      <c r="AQ2" s="1211">
        <v>0</v>
      </c>
    </row>
    <row customHeight="1" ht="23.25" hidden="1">
      <c r="A3" s="1419"/>
      <c r="B3" s="1419"/>
      <c r="C3" s="1419"/>
      <c r="D3" s="1419"/>
      <c r="E3" s="2315"/>
      <c r="F3" s="2314">
        <v>1</v>
      </c>
      <c r="G3" s="1419"/>
      <c r="H3" s="1419"/>
      <c r="I3" s="1419"/>
      <c r="J3" s="1419"/>
      <c r="K3" s="1419"/>
      <c r="L3" s="1420"/>
      <c r="M3" s="1421"/>
      <c r="N3" s="1421"/>
      <c r="O3" s="1421"/>
      <c r="P3" s="1543"/>
      <c r="Q3" s="408"/>
      <c r="R3" s="409"/>
      <c r="S3" s="1549">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2300"/>
      <c r="AK3" s="1314" t="s">
        <v>530</v>
      </c>
      <c r="AM3" s="556"/>
      <c r="AN3" s="556" t="str">
        <f>IF(T3="","",T3)</f>
        <v>Территория действия тарифа</v>
      </c>
      <c r="AO3" s="556"/>
      <c r="AP3" s="556"/>
      <c r="AQ3" s="1211">
        <v>0</v>
      </c>
    </row>
    <row customHeight="1" ht="23.25" hidden="1">
      <c r="A4" s="1419"/>
      <c r="B4" s="1419"/>
      <c r="C4" s="1419"/>
      <c r="D4" s="1419"/>
      <c r="E4" s="2315"/>
      <c r="F4" s="2315"/>
      <c r="G4" s="2314">
        <v>1</v>
      </c>
      <c r="H4" s="1419"/>
      <c r="I4" s="1419"/>
      <c r="J4" s="1419"/>
      <c r="K4" s="1419"/>
      <c r="L4" s="1420"/>
      <c r="M4" s="1421"/>
      <c r="N4" s="1421"/>
      <c r="O4" s="1421"/>
      <c r="P4" s="410"/>
      <c r="Q4" s="408"/>
      <c r="R4" s="409"/>
      <c r="S4" s="1549">
        <f>INDEX(PT_DIFFERENTIATION_NUM_CS,MATCH(C4,PT_DIFFERENTIATION_CS_ID,0))</f>
      </c>
      <c r="T4" s="365" t="s">
        <v>649</v>
      </c>
      <c r="U4" s="356"/>
      <c r="V4" s="2298"/>
      <c r="W4" s="2299"/>
      <c r="X4" s="2299"/>
      <c r="Y4" s="2299"/>
      <c r="Z4" s="2299"/>
      <c r="AA4" s="2299"/>
      <c r="AB4" s="2300"/>
      <c r="AC4" s="2298">
        <f>INDEX(PT_DIFFERENTIATION_CS,MATCH(C4,PT_DIFFERENTIATION_CS_ID,0))</f>
      </c>
      <c r="AD4" s="2299"/>
      <c r="AE4" s="2299"/>
      <c r="AF4" s="2299"/>
      <c r="AG4" s="2299"/>
      <c r="AH4" s="2299"/>
      <c r="AI4" s="2299"/>
      <c r="AJ4" s="2300"/>
      <c r="AK4" s="1314" t="s">
        <v>650</v>
      </c>
      <c r="AM4" s="556"/>
      <c r="AN4" s="556" t="str">
        <f>IF(T4="","",T4)</f>
        <v>Наименование централизованной системы водоотведения</v>
      </c>
      <c r="AO4" s="556"/>
      <c r="AP4" s="556"/>
      <c r="AQ4" s="1211">
        <v>0</v>
      </c>
    </row>
    <row customHeight="1" ht="23.25" hidden="1">
      <c r="A5" s="1419"/>
      <c r="B5" s="1419"/>
      <c r="C5" s="1419"/>
      <c r="D5" s="1419"/>
      <c r="E5" s="2315"/>
      <c r="F5" s="2315"/>
      <c r="G5" s="2315"/>
      <c r="H5" s="2315"/>
      <c r="I5" s="2312">
        <f>S4&amp;".1"</f>
      </c>
      <c r="J5" s="1419"/>
      <c r="K5" s="1419"/>
      <c r="L5" s="1420"/>
      <c r="P5" s="2313">
        <v>1</v>
      </c>
      <c r="Q5" s="1537"/>
      <c r="R5" s="412"/>
      <c r="S5" s="1549">
        <f>$I5</f>
      </c>
      <c r="T5" s="341" t="s">
        <v>612</v>
      </c>
      <c r="U5" s="356"/>
      <c r="V5" s="2406"/>
      <c r="W5" s="2407"/>
      <c r="X5" s="2407"/>
      <c r="Y5" s="2407"/>
      <c r="Z5" s="2407"/>
      <c r="AA5" s="2407"/>
      <c r="AB5" s="2408"/>
      <c r="AC5" s="2409"/>
      <c r="AD5" s="2410"/>
      <c r="AE5" s="2410"/>
      <c r="AF5" s="2410"/>
      <c r="AG5" s="2410"/>
      <c r="AH5" s="2410"/>
      <c r="AI5" s="2410"/>
      <c r="AJ5" s="2411"/>
      <c r="AK5" s="1314" t="s">
        <v>613</v>
      </c>
      <c r="AM5" s="556"/>
      <c r="AN5" s="556" t="str">
        <f>IF(T5="","",T5)</f>
        <v>Наименование признака дифференциации</v>
      </c>
      <c r="AO5" s="556"/>
      <c r="AP5" s="556"/>
      <c r="AQ5" s="1211">
        <v>0</v>
      </c>
    </row>
    <row customHeight="1" ht="23.25" hidden="1">
      <c r="A6" s="1419"/>
      <c r="B6" s="1419"/>
      <c r="C6" s="1419"/>
      <c r="D6" s="1419"/>
      <c r="E6" s="2315"/>
      <c r="F6" s="2315"/>
      <c r="G6" s="2315"/>
      <c r="H6" s="2315"/>
      <c r="I6" s="2342"/>
      <c r="J6" s="2312">
        <f>I5&amp;".1"</f>
      </c>
      <c r="K6" s="1419"/>
      <c r="L6" s="1420" t="s">
        <v>538</v>
      </c>
      <c r="P6" s="2313"/>
      <c r="Q6" s="2313">
        <v>1</v>
      </c>
      <c r="R6" s="413"/>
      <c r="S6" s="1549">
        <f>$J6</f>
      </c>
      <c r="T6" s="342" t="s">
        <v>539</v>
      </c>
      <c r="U6" s="356"/>
      <c r="V6" s="2301"/>
      <c r="W6" s="2302"/>
      <c r="X6" s="2302"/>
      <c r="Y6" s="2302"/>
      <c r="Z6" s="2302"/>
      <c r="AA6" s="2302"/>
      <c r="AB6" s="2303"/>
      <c r="AC6" s="2301"/>
      <c r="AD6" s="2302"/>
      <c r="AE6" s="2302"/>
      <c r="AF6" s="2302"/>
      <c r="AG6" s="2302"/>
      <c r="AH6" s="2302"/>
      <c r="AI6" s="2302"/>
      <c r="AJ6" s="2303"/>
      <c r="AK6" s="1363" t="s">
        <v>614</v>
      </c>
      <c r="AM6" s="556"/>
      <c r="AN6" s="556" t="str">
        <f>IF(T6="","",T6)</f>
        <v>Группа потребителей</v>
      </c>
      <c r="AO6" s="556"/>
      <c r="AP6" s="556"/>
      <c r="AQ6" s="1211">
        <v>0</v>
      </c>
    </row>
    <row customHeight="1" ht="23.25" hidden="1">
      <c r="A7" s="1419"/>
      <c r="B7" s="1419"/>
      <c r="C7" s="1419"/>
      <c r="D7" s="1419"/>
      <c r="E7" s="2315"/>
      <c r="F7" s="2315"/>
      <c r="G7" s="2315"/>
      <c r="H7" s="2315"/>
      <c r="I7" s="2342"/>
      <c r="J7" s="2342"/>
      <c r="K7" s="2312">
        <f>J6&amp;".1"</f>
      </c>
      <c r="L7" s="1420"/>
      <c r="P7" s="2313"/>
      <c r="Q7" s="2313"/>
      <c r="R7" s="413">
        <v>1</v>
      </c>
      <c r="S7" s="1549">
        <f>$K7</f>
      </c>
      <c r="T7" s="1493"/>
      <c r="U7" s="356"/>
      <c r="V7" s="807"/>
      <c r="W7" s="807"/>
      <c r="X7" s="1313"/>
      <c r="Y7" s="2321"/>
      <c r="Z7" s="2163" t="s">
        <v>65</v>
      </c>
      <c r="AA7" s="2321"/>
      <c r="AB7" s="2163" t="s">
        <v>65</v>
      </c>
      <c r="AC7" s="807"/>
      <c r="AD7" s="807"/>
      <c r="AE7" s="1313"/>
      <c r="AF7" s="2321"/>
      <c r="AG7" s="2163" t="s">
        <v>65</v>
      </c>
      <c r="AH7" s="2343"/>
      <c r="AI7" s="2163" t="s">
        <v>65</v>
      </c>
      <c r="AJ7" s="1494"/>
      <c r="AK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67">
        <f>STRCHECKDATE(V8:AJ8)</f>
      </c>
      <c r="AM7" s="556"/>
      <c r="AN7" s="556" t="str">
        <f>IF(T7="","",T7)</f>
        <v/>
      </c>
      <c r="AO7" s="556"/>
      <c r="AP7" s="556"/>
      <c r="AQ7" s="1211">
        <v>0</v>
      </c>
    </row>
    <row customHeight="1" ht="14.25" hidden="1">
      <c r="A8" s="1419"/>
      <c r="B8" s="1419"/>
      <c r="C8" s="1419"/>
      <c r="D8" s="1419"/>
      <c r="E8" s="2315"/>
      <c r="F8" s="2315"/>
      <c r="G8" s="2315"/>
      <c r="H8" s="2315"/>
      <c r="I8" s="2342"/>
      <c r="J8" s="2342"/>
      <c r="K8" s="2312"/>
      <c r="L8" s="1420"/>
      <c r="P8" s="2313"/>
      <c r="Q8" s="2313"/>
      <c r="R8" s="413"/>
      <c r="S8" s="1546"/>
      <c r="T8" s="356"/>
      <c r="U8" s="356"/>
      <c r="V8" s="381"/>
      <c r="W8" s="381"/>
      <c r="X8" s="384" t="str">
        <f>Y7&amp;"-"&amp;AA7</f>
        <v>-</v>
      </c>
      <c r="Y8" s="2322"/>
      <c r="Z8" s="2163"/>
      <c r="AA8" s="2322"/>
      <c r="AB8" s="2163"/>
      <c r="AC8" s="381"/>
      <c r="AD8" s="381"/>
      <c r="AE8" s="384" t="str">
        <f>AF7&amp;"-"&amp;AH7</f>
        <v>-</v>
      </c>
      <c r="AF8" s="2322"/>
      <c r="AG8" s="2163"/>
      <c r="AH8" s="2344"/>
      <c r="AI8" s="2163"/>
      <c r="AJ8" s="1495"/>
      <c r="AK8" s="2405"/>
      <c r="AM8" s="556"/>
      <c r="AN8" s="556" t="str">
        <f>IF(T8="","",T8)</f>
        <v/>
      </c>
      <c r="AO8" s="556"/>
      <c r="AP8" s="556"/>
      <c r="AQ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423"/>
      <c r="AK9" s="1314" t="s">
        <v>616</v>
      </c>
      <c r="AM9" s="556"/>
      <c r="AN9" s="556" t="str">
        <f>IF(T9="","",T9)</f>
        <v>Добавить значение признака дифференциации</v>
      </c>
      <c r="AO9" s="556"/>
      <c r="AP9" s="556"/>
      <c r="AQ9" s="1211">
        <v>0</v>
      </c>
    </row>
    <row customHeight="1" ht="21" hidden="1">
      <c r="A10" s="1419"/>
      <c r="B10" s="1419"/>
      <c r="C10" s="1419"/>
      <c r="D10" s="1419"/>
      <c r="E10" s="2315"/>
      <c r="F10" s="2315"/>
      <c r="G10" s="2315"/>
      <c r="H10" s="2315"/>
      <c r="I10" s="2312"/>
      <c r="J10" s="1419"/>
      <c r="K10" s="1419"/>
      <c r="L10" s="1420"/>
      <c r="P10" s="2313"/>
      <c r="Q10" s="1537"/>
      <c r="R10" s="412"/>
      <c r="S10" s="1334"/>
      <c r="T10" s="421" t="s">
        <v>544</v>
      </c>
      <c r="U10" s="423"/>
      <c r="V10" s="423"/>
      <c r="W10" s="423"/>
      <c r="X10" s="423"/>
      <c r="Y10" s="423"/>
      <c r="Z10" s="423"/>
      <c r="AA10" s="423"/>
      <c r="AB10" s="422"/>
      <c r="AC10" s="423"/>
      <c r="AD10" s="423"/>
      <c r="AE10" s="423"/>
      <c r="AF10" s="423"/>
      <c r="AG10" s="423"/>
      <c r="AH10" s="423"/>
      <c r="AI10" s="422"/>
      <c r="AJ10" s="423"/>
      <c r="AK10" s="1496"/>
      <c r="AM10" s="556"/>
      <c r="AN10" s="556" t="str">
        <f>IF(T10="","",T10)</f>
        <v>Добавить группу потребителей</v>
      </c>
      <c r="AO10" s="556"/>
      <c r="AP10" s="556"/>
      <c r="AQ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23"/>
      <c r="AK11" s="359"/>
      <c r="AM11" s="556"/>
      <c r="AN11" s="556" t="str">
        <f>IF(T11="","",T11)</f>
        <v>Добавить наименование признака дифференциации</v>
      </c>
      <c r="AO11" s="556"/>
      <c r="AP11" s="556"/>
      <c r="AQ11" s="1211">
        <v>0</v>
      </c>
    </row>
    <row s="2851" customFormat="1" customHeight="1" ht="14.25" hidden="1">
      <c r="A12" s="1399"/>
      <c r="B12" s="1399"/>
      <c r="C12" s="1370"/>
      <c r="D12" s="1370"/>
      <c r="E12" s="2315"/>
      <c r="F12" s="2314"/>
      <c r="G12" s="1370"/>
      <c r="H12" s="1370"/>
      <c r="I12" s="1370"/>
      <c r="J12" s="1370"/>
      <c r="K12" s="1370"/>
      <c r="L12" s="1550"/>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M12" s="845"/>
      <c r="AN12" s="845" t="str">
        <f>IF(T12="","",T12)</f>
        <v>Добавить централизованную систему для дифференциации</v>
      </c>
      <c r="AO12" s="845"/>
      <c r="AP12" s="845"/>
      <c r="AQ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M13" s="556"/>
      <c r="AN13" s="556" t="str">
        <f>IF(T13="","",T13)</f>
        <v>Добавить территорию для дифференциации</v>
      </c>
      <c r="AO13" s="556"/>
      <c r="AP13" s="556"/>
      <c r="AQ13" s="567">
        <v>0</v>
      </c>
    </row>
    <row customHeight="1" ht="14.25" hidden="1">
      <c r="AB14" s="383"/>
      <c r="AI14" s="383"/>
      <c r="AQ14" s="1211">
        <v>0</v>
      </c>
    </row>
    <row customHeight="1" ht="14.25" hidden="1">
      <c r="AC15" s="1416"/>
      <c r="AD15" s="1416"/>
      <c r="AE15" s="1417"/>
      <c r="AF15" s="2323"/>
      <c r="AG15" s="2324" t="s">
        <v>65</v>
      </c>
      <c r="AH15" s="2323"/>
      <c r="AI15" s="2324" t="s">
        <v>65</v>
      </c>
      <c r="AQ15" s="1211">
        <v>0</v>
      </c>
    </row>
    <row customHeight="1" ht="14.25" hidden="1">
      <c r="AC16" s="1416"/>
      <c r="AD16" s="1416"/>
      <c r="AE16" s="384" t="str">
        <f>AF15&amp;"-"&amp;AH15</f>
        <v>-</v>
      </c>
      <c r="AF16" s="2324"/>
      <c r="AG16" s="2324"/>
      <c r="AH16" s="2324"/>
      <c r="AI16" s="2324"/>
      <c r="AQ16" s="1211">
        <v>0</v>
      </c>
    </row>
    <row customHeight="1" ht="14.25" hidden="1">
      <c r="AI17" s="383"/>
      <c r="AQ17" s="1211">
        <v>0</v>
      </c>
    </row>
    <row s="2850" customFormat="1" customHeight="1" ht="22.5" hidden="1">
      <c r="L18" s="1534"/>
      <c r="M18" s="1418"/>
      <c r="N18" s="1418"/>
      <c r="O18" s="1423" t="s">
        <v>547</v>
      </c>
      <c r="P18" s="1418"/>
      <c r="Q18" s="1427"/>
      <c r="R18" s="1427"/>
      <c r="S18" s="785"/>
      <c r="Y18" s="1423"/>
      <c r="AA18" s="1423"/>
      <c r="AB18" s="1422"/>
      <c r="AF18" s="1423"/>
      <c r="AH18" s="1423"/>
      <c r="AI18" s="1422"/>
      <c r="AL18" s="567"/>
      <c r="AM18" s="567"/>
      <c r="AN18" s="567"/>
      <c r="AO18" s="567"/>
      <c r="AP18" s="567"/>
      <c r="AQ18" s="1216">
        <v>0</v>
      </c>
    </row>
    <row s="2850" customFormat="1" customHeight="1" ht="14.25" hidden="1">
      <c r="L19" s="1534"/>
      <c r="M19" s="1418"/>
      <c r="N19" s="1418"/>
      <c r="O19" s="1418"/>
      <c r="P19" s="1418"/>
      <c r="Q19" s="1427"/>
      <c r="R19" s="1427"/>
      <c r="S19" s="785"/>
      <c r="AB19" s="1422"/>
      <c r="AI19" s="1422"/>
      <c r="AL19" s="567"/>
      <c r="AM19" s="567"/>
      <c r="AN19" s="567"/>
      <c r="AO19" s="567"/>
      <c r="AP19" s="567"/>
      <c r="AQ19" s="1216">
        <v>0</v>
      </c>
    </row>
    <row s="2850" customFormat="1" customHeight="1" ht="12" hidden="1">
      <c r="L20" s="1534"/>
      <c r="M20" s="1418"/>
      <c r="N20" s="1418"/>
      <c r="O20" s="1420" t="s">
        <v>548</v>
      </c>
      <c r="P20" s="1418"/>
      <c r="Q20" s="1498"/>
      <c r="R20" s="1498"/>
      <c r="S20" s="785"/>
      <c r="T20" s="1216" t="s">
        <v>549</v>
      </c>
      <c r="Z20" s="242" t="s">
        <v>550</v>
      </c>
      <c r="AB20" s="242" t="s">
        <v>551</v>
      </c>
      <c r="AC20" s="1216" t="s">
        <v>549</v>
      </c>
      <c r="AG20" s="242" t="s">
        <v>552</v>
      </c>
      <c r="AI20" s="242" t="s">
        <v>551</v>
      </c>
      <c r="AQ20" s="1216">
        <v>0</v>
      </c>
    </row>
    <row customHeight="1" ht="14.25" hidden="1">
      <c r="O21" s="1420"/>
      <c r="AQ21" s="1211">
        <v>0</v>
      </c>
    </row>
    <row customHeight="1" ht="14.25" hidden="1">
      <c r="O22" s="1420"/>
      <c r="AQ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Q23" s="1211">
        <v>14</v>
      </c>
    </row>
    <row customHeight="1" ht="14.699999999999998">
      <c r="Q24" s="432"/>
      <c r="R24" s="432"/>
      <c r="S24" s="23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Q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565"/>
      <c r="AQ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382"/>
      <c r="AK27" s="336"/>
      <c r="AL27" s="424"/>
      <c r="AM27" s="424"/>
      <c r="AN27" s="424"/>
      <c r="AO27" s="424"/>
      <c r="AP27" s="424"/>
      <c r="AQ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382"/>
      <c r="AK28" s="336"/>
      <c r="AL28" s="424"/>
      <c r="AM28" s="424"/>
      <c r="AN28" s="424"/>
      <c r="AO28" s="424"/>
      <c r="AP28" s="424"/>
      <c r="AQ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382"/>
      <c r="AK29" s="336"/>
      <c r="AL29" s="424"/>
      <c r="AM29" s="424"/>
      <c r="AN29" s="424"/>
      <c r="AO29" s="424"/>
      <c r="AP29" s="424"/>
      <c r="AQ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382"/>
      <c r="AK30" s="336"/>
      <c r="AL30" s="424"/>
      <c r="AM30" s="424"/>
      <c r="AN30" s="424"/>
      <c r="AO30" s="424"/>
      <c r="AP30" s="424"/>
      <c r="AQ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565"/>
      <c r="AQ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382"/>
      <c r="AK32" s="336"/>
      <c r="AL32" s="424"/>
      <c r="AM32" s="424"/>
      <c r="AN32" s="424"/>
      <c r="AO32" s="424"/>
      <c r="AP32" s="424"/>
      <c r="AQ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382"/>
      <c r="AK33" s="336"/>
      <c r="AL33" s="424"/>
      <c r="AM33" s="424"/>
      <c r="AN33" s="424"/>
      <c r="AO33" s="424"/>
      <c r="AP33" s="424"/>
      <c r="AQ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44"/>
      <c r="V34" s="382"/>
      <c r="W34" s="382"/>
      <c r="X34" s="382"/>
      <c r="Y34" s="382"/>
      <c r="Z34" s="382"/>
      <c r="AA34" s="382"/>
      <c r="AB34" s="334" t="s">
        <v>557</v>
      </c>
      <c r="AC34" s="382"/>
      <c r="AD34" s="382"/>
      <c r="AE34" s="382"/>
      <c r="AF34" s="382"/>
      <c r="AG34" s="382"/>
      <c r="AH34" s="382"/>
      <c r="AI34" s="334" t="s">
        <v>557</v>
      </c>
      <c r="AL34" s="424"/>
      <c r="AM34" s="424"/>
      <c r="AN34" s="424"/>
      <c r="AO34" s="424"/>
      <c r="AP34" s="424"/>
      <c r="AQ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Q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t="s">
        <v>433</v>
      </c>
      <c r="AQ36" s="1211">
        <v>14</v>
      </c>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2336" t="s">
        <v>562</v>
      </c>
      <c r="AK37" s="2183"/>
      <c r="AQ37" s="1211">
        <v>14</v>
      </c>
    </row>
    <row customHeight="1" ht="35.699999999999996">
      <c r="Q38" s="432"/>
      <c r="R38" s="432"/>
      <c r="S38" s="2329"/>
      <c r="T38" s="2265"/>
      <c r="U38" s="1087"/>
      <c r="V38" s="1539" t="s">
        <v>618</v>
      </c>
      <c r="W38" s="2318" t="s">
        <v>565</v>
      </c>
      <c r="X38" s="2319"/>
      <c r="Y38" s="2318" t="s">
        <v>566</v>
      </c>
      <c r="Z38" s="2325"/>
      <c r="AA38" s="2319"/>
      <c r="AB38" s="2334"/>
      <c r="AC38" s="1539" t="s">
        <v>618</v>
      </c>
      <c r="AD38" s="2318" t="s">
        <v>565</v>
      </c>
      <c r="AE38" s="2319"/>
      <c r="AF38" s="2318" t="s">
        <v>566</v>
      </c>
      <c r="AG38" s="2325"/>
      <c r="AH38" s="2319"/>
      <c r="AI38" s="2334"/>
      <c r="AJ38" s="2337"/>
      <c r="AK38" s="2183"/>
      <c r="AQ38" s="1211">
        <v>34</v>
      </c>
    </row>
    <row customHeight="1" ht="90.3">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539" t="s">
        <v>651</v>
      </c>
      <c r="W39" s="1278" t="s">
        <v>652</v>
      </c>
      <c r="X39" s="1278" t="s">
        <v>623</v>
      </c>
      <c r="Y39" s="1545" t="s">
        <v>576</v>
      </c>
      <c r="Z39" s="2326" t="s">
        <v>577</v>
      </c>
      <c r="AA39" s="2327"/>
      <c r="AB39" s="2335"/>
      <c r="AC39" s="1539" t="s">
        <v>651</v>
      </c>
      <c r="AD39" s="1278" t="s">
        <v>652</v>
      </c>
      <c r="AE39" s="1278" t="s">
        <v>623</v>
      </c>
      <c r="AF39" s="1545" t="s">
        <v>576</v>
      </c>
      <c r="AG39" s="2326" t="s">
        <v>577</v>
      </c>
      <c r="AH39" s="2327"/>
      <c r="AI39" s="2335"/>
      <c r="AJ39" s="2338"/>
      <c r="AK39" s="2183"/>
      <c r="AQ39" s="1211">
        <v>86</v>
      </c>
    </row>
    <row s="3442" customFormat="1" customHeight="1" ht="11.25" hidden="1">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538">
        <f>OFFSET(V40,0,-1)+1</f>
        <v>3</v>
      </c>
      <c r="W40" s="1538">
        <f>OFFSET(W40,0,-1)+1</f>
        <v>4</v>
      </c>
      <c r="X40" s="1538">
        <f>OFFSET(X40,0,-1)+1</f>
        <v>5</v>
      </c>
      <c r="Y40" s="1538">
        <f>OFFSET(Y40,0,-1)+1</f>
        <v>6</v>
      </c>
      <c r="Z40" s="2328">
        <f>OFFSET(Z40,0,-1)+1</f>
        <v>7</v>
      </c>
      <c r="AA40" s="2328"/>
      <c r="AB40" s="1538">
        <f>OFFSET(AB40,0,-2)+1</f>
        <v>8</v>
      </c>
      <c r="AC40" s="1538">
        <f>OFFSET(AC40,0,-1)+1</f>
        <v>9</v>
      </c>
      <c r="AD40" s="1538">
        <f>OFFSET(AD40,0,-1)+1</f>
        <v>10</v>
      </c>
      <c r="AE40" s="1538">
        <f>OFFSET(AE40,0,-1)+1</f>
        <v>11</v>
      </c>
      <c r="AF40" s="1538">
        <f>OFFSET(AF40,0,-1)+1</f>
        <v>12</v>
      </c>
      <c r="AG40" s="2328">
        <f>OFFSET(AG40,0,-1)+1</f>
        <v>13</v>
      </c>
      <c r="AH40" s="2328"/>
      <c r="AI40" s="1538">
        <f>OFFSET(AI40,0,-2)+1</f>
        <v>14</v>
      </c>
      <c r="AJ40" s="1301">
        <f>OFFSET(AJ40,0,-1)</f>
        <v>14</v>
      </c>
      <c r="AK40" s="1538">
        <f>OFFSET(AK40,0,-1)+1</f>
        <v>15</v>
      </c>
      <c r="AL40" s="567"/>
      <c r="AM40" s="567"/>
      <c r="AN40" s="567"/>
      <c r="AO40" s="567"/>
      <c r="AP40" s="567"/>
      <c r="AQ40" s="552">
        <v>0</v>
      </c>
    </row>
    <row customHeight="1" ht="24">
      <c r="A41" s="1419" t="s">
        <v>398</v>
      </c>
      <c r="B41" s="1419"/>
      <c r="C41" s="1419"/>
      <c r="D41" s="1419"/>
      <c r="E41" s="2314">
        <v>1</v>
      </c>
      <c r="F41" s="1419"/>
      <c r="G41" s="1419"/>
      <c r="H41" s="1419"/>
      <c r="I41" s="1419"/>
      <c r="J41" s="1419"/>
      <c r="K41" s="1419"/>
      <c r="L41" s="1420"/>
      <c r="M41" s="1421"/>
      <c r="N41" s="1421"/>
      <c r="O41" s="1421"/>
      <c r="P41" s="417"/>
      <c r="Q41" s="416"/>
      <c r="R41" s="411"/>
      <c r="S41" s="1549">
        <f>INDEX(PT_DIFFERENTIATION_NUM_NTAR,MATCH(A41,PT_DIFFERENTIATION_NTAR_ID,0))</f>
        <v>0</v>
      </c>
      <c r="T41" s="354" t="s">
        <v>202</v>
      </c>
      <c r="U41" s="356"/>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56"/>
      <c r="AN41" s="556" t="str">
        <f>IF(T41="","",T41)</f>
        <v>Наименование тарифа</v>
      </c>
      <c r="AO41" s="556"/>
      <c r="AP41" s="556"/>
      <c r="AQ41" s="1211">
        <v>23</v>
      </c>
    </row>
    <row customHeight="1" ht="24">
      <c r="A42" s="1419" t="s">
        <v>398</v>
      </c>
      <c r="B42" s="1419" t="s">
        <v>399</v>
      </c>
      <c r="C42" s="1419"/>
      <c r="D42" s="1419"/>
      <c r="E42" s="2315"/>
      <c r="F42" s="2314">
        <v>1</v>
      </c>
      <c r="G42" s="1419"/>
      <c r="H42" s="1419"/>
      <c r="I42" s="1419"/>
      <c r="J42" s="1419"/>
      <c r="K42" s="1419"/>
      <c r="L42" s="1420"/>
      <c r="M42" s="1421"/>
      <c r="N42" s="1421"/>
      <c r="O42" s="1421"/>
      <c r="P42" s="1543"/>
      <c r="Q42" s="408"/>
      <c r="R42" s="409"/>
      <c r="S42" s="1549" t="str">
        <f>INDEX(PT_DIFFERENTIATION_NUM_TER,MATCH(B42,PT_DIFFERENTIATION_TER_ID,0))</f>
        <v>.</v>
      </c>
      <c r="T42" s="364" t="s">
        <v>529</v>
      </c>
      <c r="U42" s="356"/>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314" t="s">
        <v>530</v>
      </c>
      <c r="AM42" s="556"/>
      <c r="AN42" s="556" t="str">
        <f>IF(T42="","",T42)</f>
        <v>Территория действия тарифа</v>
      </c>
      <c r="AO42" s="556"/>
      <c r="AP42" s="556"/>
      <c r="AQ42" s="1211">
        <v>23</v>
      </c>
    </row>
    <row customHeight="1" ht="24">
      <c r="A43" s="1419" t="s">
        <v>398</v>
      </c>
      <c r="B43" s="1419" t="s">
        <v>399</v>
      </c>
      <c r="C43" s="1419" t="s">
        <v>400</v>
      </c>
      <c r="D43" s="1419"/>
      <c r="E43" s="2315"/>
      <c r="F43" s="2315"/>
      <c r="G43" s="2314">
        <v>1</v>
      </c>
      <c r="H43" s="1419"/>
      <c r="I43" s="1419"/>
      <c r="J43" s="1419"/>
      <c r="K43" s="1419"/>
      <c r="L43" s="1420"/>
      <c r="M43" s="1421"/>
      <c r="N43" s="1421"/>
      <c r="O43" s="1421"/>
      <c r="P43" s="410"/>
      <c r="Q43" s="408"/>
      <c r="R43" s="409"/>
      <c r="S43" s="1549" t="str">
        <f>INDEX(PT_DIFFERENTIATION_NUM_CS,MATCH(C43,PT_DIFFERENTIATION_CS_ID,0))</f>
        <v>..</v>
      </c>
      <c r="T43" s="365" t="s">
        <v>649</v>
      </c>
      <c r="U43" s="356"/>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314" t="s">
        <v>650</v>
      </c>
      <c r="AM43" s="556"/>
      <c r="AN43" s="556" t="str">
        <f>IF(T43="","",T43)</f>
        <v>Наименование централизованной системы водоотведения</v>
      </c>
      <c r="AO43" s="556"/>
      <c r="AP43" s="556"/>
      <c r="AQ43" s="1211">
        <v>23</v>
      </c>
    </row>
    <row customHeight="1" ht="24">
      <c r="A44" s="1419" t="s">
        <v>398</v>
      </c>
      <c r="B44" s="1419" t="s">
        <v>399</v>
      </c>
      <c r="C44" s="1419" t="s">
        <v>400</v>
      </c>
      <c r="D44" s="1419" t="s">
        <v>653</v>
      </c>
      <c r="E44" s="2315"/>
      <c r="F44" s="2315"/>
      <c r="G44" s="2315"/>
      <c r="H44" s="2315"/>
      <c r="I44" s="2312" t="str">
        <f>S43&amp;".1"</f>
        <v>...1</v>
      </c>
      <c r="J44" s="1419"/>
      <c r="K44" s="1419"/>
      <c r="L44" s="1420"/>
      <c r="P44" s="2313">
        <v>1</v>
      </c>
      <c r="Q44" s="1537"/>
      <c r="R44" s="412"/>
      <c r="S44" s="1549" t="str">
        <f>$I44</f>
        <v>...1</v>
      </c>
      <c r="T44" s="341" t="s">
        <v>612</v>
      </c>
      <c r="U44" s="356"/>
      <c r="V44" s="2406"/>
      <c r="W44" s="2407"/>
      <c r="X44" s="2407"/>
      <c r="Y44" s="2407"/>
      <c r="Z44" s="2407"/>
      <c r="AA44" s="2407"/>
      <c r="AB44" s="2408"/>
      <c r="AC44" s="2409"/>
      <c r="AD44" s="2410"/>
      <c r="AE44" s="2410"/>
      <c r="AF44" s="2410"/>
      <c r="AG44" s="2410"/>
      <c r="AH44" s="2410"/>
      <c r="AI44" s="2410"/>
      <c r="AJ44" s="2411"/>
      <c r="AK44" s="1314" t="s">
        <v>613</v>
      </c>
      <c r="AM44" s="556"/>
      <c r="AN44" s="556" t="str">
        <f>IF(T44="","",T44)</f>
        <v>Наименование признака дифференциации</v>
      </c>
      <c r="AO44" s="556"/>
      <c r="AP44" s="556"/>
      <c r="AQ44" s="1211">
        <v>23</v>
      </c>
    </row>
    <row customHeight="1" ht="24">
      <c r="A45" s="1419" t="s">
        <v>398</v>
      </c>
      <c r="B45" s="1419" t="s">
        <v>399</v>
      </c>
      <c r="C45" s="1419" t="s">
        <v>400</v>
      </c>
      <c r="D45" s="1419" t="s">
        <v>653</v>
      </c>
      <c r="E45" s="2315"/>
      <c r="F45" s="2315"/>
      <c r="G45" s="2315"/>
      <c r="H45" s="2315"/>
      <c r="I45" s="2342"/>
      <c r="J45" s="2312" t="str">
        <f>I44&amp;".1"</f>
        <v>...1.1</v>
      </c>
      <c r="K45" s="1419"/>
      <c r="L45" s="1420" t="s">
        <v>538</v>
      </c>
      <c r="P45" s="2313"/>
      <c r="Q45" s="2313">
        <v>1</v>
      </c>
      <c r="R45" s="413"/>
      <c r="S45" s="1549" t="str">
        <f>$J45</f>
        <v>...1.1</v>
      </c>
      <c r="T45" s="342" t="s">
        <v>539</v>
      </c>
      <c r="U45" s="356"/>
      <c r="V45" s="2301"/>
      <c r="W45" s="2302"/>
      <c r="X45" s="2302"/>
      <c r="Y45" s="2302"/>
      <c r="Z45" s="2302"/>
      <c r="AA45" s="2302"/>
      <c r="AB45" s="2303"/>
      <c r="AC45" s="2301"/>
      <c r="AD45" s="2302"/>
      <c r="AE45" s="2302"/>
      <c r="AF45" s="2302"/>
      <c r="AG45" s="2302"/>
      <c r="AH45" s="2302"/>
      <c r="AI45" s="2302"/>
      <c r="AJ45" s="2303"/>
      <c r="AK45" s="1363" t="s">
        <v>614</v>
      </c>
      <c r="AM45" s="556"/>
      <c r="AN45" s="556" t="str">
        <f>IF(T45="","",T45)</f>
        <v>Группа потребителей</v>
      </c>
      <c r="AO45" s="556"/>
      <c r="AP45" s="556"/>
      <c r="AQ45" s="1211">
        <v>23</v>
      </c>
    </row>
    <row customHeight="1" ht="24">
      <c r="A46" s="1419" t="s">
        <v>398</v>
      </c>
      <c r="B46" s="1419" t="s">
        <v>399</v>
      </c>
      <c r="C46" s="1419" t="s">
        <v>400</v>
      </c>
      <c r="D46" s="1419" t="s">
        <v>653</v>
      </c>
      <c r="E46" s="2315"/>
      <c r="F46" s="2315"/>
      <c r="G46" s="2315"/>
      <c r="H46" s="2315"/>
      <c r="I46" s="2342"/>
      <c r="J46" s="2342"/>
      <c r="K46" s="2312" t="str">
        <f>J45&amp;".1"</f>
        <v>...1.1.1</v>
      </c>
      <c r="L46" s="1420"/>
      <c r="P46" s="2313"/>
      <c r="Q46" s="2313"/>
      <c r="R46" s="413">
        <v>1</v>
      </c>
      <c r="S46" s="1549" t="str">
        <f>$K46</f>
        <v>...1.1.1</v>
      </c>
      <c r="T46" s="1493"/>
      <c r="U46" s="356"/>
      <c r="V46" s="1416"/>
      <c r="W46" s="1416"/>
      <c r="X46" s="1417"/>
      <c r="Y46" s="2323"/>
      <c r="Z46" s="2324" t="s">
        <v>65</v>
      </c>
      <c r="AA46" s="2323"/>
      <c r="AB46" s="2324" t="s">
        <v>65</v>
      </c>
      <c r="AC46" s="807"/>
      <c r="AD46" s="807"/>
      <c r="AE46" s="1313"/>
      <c r="AF46" s="2321"/>
      <c r="AG46" s="2163" t="s">
        <v>65</v>
      </c>
      <c r="AH46" s="2343"/>
      <c r="AI46" s="2163" t="s">
        <v>19</v>
      </c>
      <c r="AJ46" s="1494"/>
      <c r="AK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67">
        <f>STRCHECKDATE(V47:AJ47)</f>
      </c>
      <c r="AM46" s="556"/>
      <c r="AN46" s="556" t="str">
        <f>IF(T46="","",T46)</f>
        <v/>
      </c>
      <c r="AO46" s="556"/>
      <c r="AP46" s="556"/>
      <c r="AQ46" s="1211">
        <v>23</v>
      </c>
    </row>
    <row customHeight="1" ht="0">
      <c r="A47" s="1419" t="s">
        <v>398</v>
      </c>
      <c r="B47" s="1419" t="s">
        <v>399</v>
      </c>
      <c r="C47" s="1419" t="s">
        <v>400</v>
      </c>
      <c r="D47" s="1419" t="s">
        <v>653</v>
      </c>
      <c r="E47" s="2315"/>
      <c r="F47" s="2315"/>
      <c r="G47" s="2315"/>
      <c r="H47" s="2315"/>
      <c r="I47" s="2342"/>
      <c r="J47" s="2342"/>
      <c r="K47" s="2312"/>
      <c r="L47" s="1420"/>
      <c r="P47" s="2313"/>
      <c r="Q47" s="2313"/>
      <c r="R47" s="413"/>
      <c r="S47" s="1546"/>
      <c r="T47" s="356"/>
      <c r="U47" s="356"/>
      <c r="V47" s="1416"/>
      <c r="W47" s="1416"/>
      <c r="X47" s="384" t="str">
        <f>Y46&amp;"-"&amp;AA46</f>
        <v>-</v>
      </c>
      <c r="Y47" s="2324"/>
      <c r="Z47" s="2324"/>
      <c r="AA47" s="2324"/>
      <c r="AB47" s="2324"/>
      <c r="AC47" s="381"/>
      <c r="AD47" s="381"/>
      <c r="AE47" s="384" t="str">
        <f>AF46&amp;"-"&amp;AH46</f>
        <v>-</v>
      </c>
      <c r="AF47" s="2322"/>
      <c r="AG47" s="2163"/>
      <c r="AH47" s="2344"/>
      <c r="AI47" s="2163"/>
      <c r="AJ47" s="1495"/>
      <c r="AK47" s="2405"/>
      <c r="AM47" s="556"/>
      <c r="AN47" s="556" t="str">
        <f>IF(T47="","",T47)</f>
        <v/>
      </c>
      <c r="AO47" s="556"/>
      <c r="AP47" s="556"/>
      <c r="AQ47" s="1211">
        <v>0</v>
      </c>
    </row>
    <row customHeight="1" ht="21">
      <c r="A48" s="1419" t="s">
        <v>398</v>
      </c>
      <c r="B48" s="1419" t="s">
        <v>399</v>
      </c>
      <c r="C48" s="1419" t="s">
        <v>400</v>
      </c>
      <c r="D48" s="1419" t="s">
        <v>653</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23"/>
      <c r="AK48" s="1314" t="s">
        <v>616</v>
      </c>
      <c r="AM48" s="556"/>
      <c r="AN48" s="556" t="str">
        <f>IF(T48="","",T48)</f>
        <v>Добавить значение признака дифференциации</v>
      </c>
      <c r="AO48" s="556"/>
      <c r="AP48" s="556"/>
      <c r="AQ48" s="1211">
        <v>20</v>
      </c>
    </row>
    <row customHeight="1" ht="22.049999999999997">
      <c r="A49" s="1419" t="s">
        <v>398</v>
      </c>
      <c r="B49" s="1419" t="s">
        <v>399</v>
      </c>
      <c r="C49" s="1419" t="s">
        <v>400</v>
      </c>
      <c r="D49" s="1419" t="s">
        <v>653</v>
      </c>
      <c r="E49" s="2315"/>
      <c r="F49" s="2315"/>
      <c r="G49" s="2315"/>
      <c r="H49" s="2315"/>
      <c r="I49" s="2312"/>
      <c r="J49" s="1419"/>
      <c r="K49" s="1419"/>
      <c r="L49" s="1420"/>
      <c r="P49" s="2313"/>
      <c r="Q49" s="1537"/>
      <c r="R49" s="412"/>
      <c r="S49" s="1334"/>
      <c r="T49" s="421" t="s">
        <v>544</v>
      </c>
      <c r="U49" s="423"/>
      <c r="V49" s="423"/>
      <c r="W49" s="423"/>
      <c r="X49" s="423"/>
      <c r="Y49" s="423"/>
      <c r="Z49" s="423"/>
      <c r="AA49" s="423"/>
      <c r="AB49" s="422"/>
      <c r="AC49" s="423"/>
      <c r="AD49" s="423"/>
      <c r="AE49" s="423"/>
      <c r="AF49" s="423"/>
      <c r="AG49" s="423"/>
      <c r="AH49" s="423"/>
      <c r="AI49" s="422"/>
      <c r="AJ49" s="423"/>
      <c r="AK49" s="1496"/>
      <c r="AM49" s="556"/>
      <c r="AN49" s="556" t="str">
        <f>IF(T49="","",T49)</f>
        <v>Добавить группу потребителей</v>
      </c>
      <c r="AO49" s="556"/>
      <c r="AP49" s="556"/>
      <c r="AQ49" s="1211">
        <v>21</v>
      </c>
    </row>
    <row customHeight="1" ht="22.049999999999997">
      <c r="A50" s="1419" t="s">
        <v>398</v>
      </c>
      <c r="B50" s="1419" t="s">
        <v>399</v>
      </c>
      <c r="C50" s="1419" t="s">
        <v>400</v>
      </c>
      <c r="D50" s="1419" t="s">
        <v>653</v>
      </c>
      <c r="E50" s="2315"/>
      <c r="F50" s="2315"/>
      <c r="G50" s="2315"/>
      <c r="H50" s="2314"/>
      <c r="I50" s="1419"/>
      <c r="J50" s="1419"/>
      <c r="K50" s="1419"/>
      <c r="L50" s="1420"/>
      <c r="M50" s="1421"/>
      <c r="N50" s="1421"/>
      <c r="O50" s="593"/>
      <c r="P50" s="416"/>
      <c r="Q50" s="431"/>
      <c r="R50" s="411"/>
      <c r="S50" s="1334"/>
      <c r="T50" s="428" t="s">
        <v>617</v>
      </c>
      <c r="U50" s="423"/>
      <c r="V50" s="423"/>
      <c r="W50" s="423"/>
      <c r="X50" s="423"/>
      <c r="Y50" s="423"/>
      <c r="Z50" s="423"/>
      <c r="AA50" s="423"/>
      <c r="AB50" s="422"/>
      <c r="AC50" s="423"/>
      <c r="AD50" s="423"/>
      <c r="AE50" s="423"/>
      <c r="AF50" s="423"/>
      <c r="AG50" s="423"/>
      <c r="AH50" s="423"/>
      <c r="AI50" s="422"/>
      <c r="AJ50" s="423"/>
      <c r="AK50" s="359"/>
      <c r="AM50" s="556"/>
      <c r="AN50" s="556" t="str">
        <f>IF(T50="","",T50)</f>
        <v>Добавить наименование признака дифференциации</v>
      </c>
      <c r="AO50" s="556"/>
      <c r="AP50" s="556"/>
      <c r="AQ50" s="1211">
        <v>21</v>
      </c>
    </row>
    <row s="2851" customFormat="1" customHeight="1" ht="0">
      <c r="A51" s="1399" t="s">
        <v>398</v>
      </c>
      <c r="B51" s="1399" t="s">
        <v>399</v>
      </c>
      <c r="C51" s="1370"/>
      <c r="D51" s="1370"/>
      <c r="E51" s="2315"/>
      <c r="F51" s="2314"/>
      <c r="G51" s="1370"/>
      <c r="H51" s="1370"/>
      <c r="I51" s="1370"/>
      <c r="J51" s="1370"/>
      <c r="K51" s="1370"/>
      <c r="L51" s="1550"/>
      <c r="M51" s="1377"/>
      <c r="N51" s="1377"/>
      <c r="P51" s="1372"/>
      <c r="Q51" s="1373"/>
      <c r="R51" s="1372"/>
      <c r="S51" s="1378"/>
      <c r="T51" s="1381" t="s">
        <v>302</v>
      </c>
      <c r="U51" s="1380"/>
      <c r="V51" s="1380"/>
      <c r="W51" s="1380"/>
      <c r="X51" s="1380"/>
      <c r="Y51" s="1380"/>
      <c r="Z51" s="1380"/>
      <c r="AA51" s="1380"/>
      <c r="AB51" s="1380"/>
      <c r="AC51" s="1380"/>
      <c r="AD51" s="1380"/>
      <c r="AE51" s="1380"/>
      <c r="AF51" s="1380"/>
      <c r="AG51" s="1380"/>
      <c r="AH51" s="1380"/>
      <c r="AI51" s="1380"/>
      <c r="AJ51" s="1380"/>
      <c r="AK51" s="1380"/>
      <c r="AM51" s="845"/>
      <c r="AN51" s="845" t="str">
        <f>IF(T51="","",T51)</f>
        <v>Добавить централизованную систему для дифференциации</v>
      </c>
      <c r="AO51" s="845"/>
      <c r="AP51" s="845"/>
      <c r="AQ51" s="574">
        <v>0</v>
      </c>
    </row>
    <row s="2851" customFormat="1" customHeight="1" ht="0">
      <c r="A52" s="1399" t="s">
        <v>398</v>
      </c>
      <c r="B52" s="1399"/>
      <c r="C52" s="1399"/>
      <c r="D52" s="1399"/>
      <c r="E52" s="2314"/>
      <c r="F52" s="1399"/>
      <c r="G52" s="1399"/>
      <c r="H52" s="1399"/>
      <c r="I52" s="1399"/>
      <c r="J52" s="1399"/>
      <c r="K52" s="1399"/>
      <c r="L52" s="1402"/>
      <c r="M52" s="1377"/>
      <c r="N52" s="1377"/>
      <c r="O52" s="574"/>
      <c r="P52" s="436"/>
      <c r="Q52" s="1400"/>
      <c r="R52" s="436"/>
      <c r="S52" s="1378"/>
      <c r="T52" s="1381" t="s">
        <v>359</v>
      </c>
      <c r="U52" s="1380"/>
      <c r="V52" s="1380"/>
      <c r="W52" s="1380"/>
      <c r="X52" s="1380"/>
      <c r="Y52" s="1380"/>
      <c r="Z52" s="1380"/>
      <c r="AA52" s="1380"/>
      <c r="AB52" s="1380"/>
      <c r="AC52" s="1380"/>
      <c r="AD52" s="1380"/>
      <c r="AE52" s="1380"/>
      <c r="AF52" s="1380"/>
      <c r="AG52" s="1380"/>
      <c r="AH52" s="1380"/>
      <c r="AI52" s="1380"/>
      <c r="AJ52" s="1380"/>
      <c r="AK52" s="1380"/>
      <c r="AM52" s="556"/>
      <c r="AN52" s="556" t="str">
        <f>IF(T52="","",T52)</f>
        <v>Добавить территорию для дифференциации</v>
      </c>
      <c r="AO52" s="556"/>
      <c r="AP52" s="556"/>
      <c r="AQ52" s="567">
        <v>0</v>
      </c>
    </row>
    <row s="2851" customFormat="1" customHeight="1" ht="0">
      <c r="A53" s="1370"/>
      <c r="B53" s="1370"/>
      <c r="C53" s="1370"/>
      <c r="D53" s="1370"/>
      <c r="E53" s="1399"/>
      <c r="F53" s="1370"/>
      <c r="G53" s="1370"/>
      <c r="H53" s="1370"/>
      <c r="I53" s="1370"/>
      <c r="J53" s="1370"/>
      <c r="K53" s="1370"/>
      <c r="L53" s="1550"/>
      <c r="M53" s="1377"/>
      <c r="N53" s="1377"/>
      <c r="P53" s="1372"/>
      <c r="Q53" s="1373"/>
      <c r="R53" s="1372"/>
      <c r="S53" s="1378"/>
      <c r="T53" s="1381" t="s">
        <v>360</v>
      </c>
      <c r="U53" s="1380"/>
      <c r="V53" s="1380"/>
      <c r="W53" s="1380"/>
      <c r="X53" s="1380"/>
      <c r="Y53" s="1380"/>
      <c r="Z53" s="1380"/>
      <c r="AA53" s="1380"/>
      <c r="AB53" s="1380"/>
      <c r="AC53" s="1380"/>
      <c r="AD53" s="1380"/>
      <c r="AE53" s="1380"/>
      <c r="AF53" s="1380"/>
      <c r="AG53" s="1380"/>
      <c r="AH53" s="1380"/>
      <c r="AI53" s="1380"/>
      <c r="AJ53" s="1380"/>
      <c r="AK53" s="1380"/>
      <c r="AM53" s="845"/>
      <c r="AN53" s="845" t="str">
        <f>IF(T53="","",T53)</f>
        <v>Добавить наименование тарифа</v>
      </c>
      <c r="AO53" s="845"/>
      <c r="AP53" s="845"/>
      <c r="AQ53" s="574">
        <v>0</v>
      </c>
    </row>
    <row customHeight="1" ht="11.549999999999999">
      <c r="M54" s="1216"/>
      <c r="N54" s="1216"/>
      <c r="O54" s="593"/>
      <c r="P54" s="1211"/>
      <c r="Q54" s="1211"/>
      <c r="R54" s="1211"/>
      <c r="S54" s="1211"/>
      <c r="AL54" s="1211"/>
      <c r="AM54" s="1211"/>
      <c r="AN54" s="1211"/>
      <c r="AO54" s="1211"/>
      <c r="AP54" s="1211"/>
      <c r="AQ54" s="1211">
        <v>11</v>
      </c>
    </row>
    <row customHeight="1" ht="14.699999999999998">
      <c r="O55" s="593"/>
      <c r="S55" s="1309"/>
      <c r="T55" s="2341"/>
      <c r="U55" s="2341"/>
      <c r="V55" s="2341"/>
      <c r="W55" s="2341"/>
      <c r="X55" s="2341"/>
      <c r="Y55" s="2341"/>
      <c r="Z55" s="2341"/>
      <c r="AA55" s="2341"/>
      <c r="AB55" s="2341"/>
      <c r="AC55" s="2341"/>
      <c r="AD55" s="2341"/>
      <c r="AE55" s="2341"/>
      <c r="AF55" s="2341"/>
      <c r="AG55" s="2341"/>
      <c r="AH55" s="2341"/>
      <c r="AI55" s="2341"/>
      <c r="AJ55" s="2341"/>
      <c r="AK55" s="2341"/>
      <c r="AQ55" s="1211">
        <v>14</v>
      </c>
    </row>
    <row customHeight="1" ht="14.699999999999998">
      <c r="O56" s="593"/>
      <c r="AQ56" s="1211">
        <v>14</v>
      </c>
    </row>
    <row customHeight="1" ht="14.699999999999998">
      <c r="O57" s="593"/>
      <c r="S57" s="1309"/>
      <c r="T57" s="2341"/>
      <c r="U57" s="2341"/>
      <c r="V57" s="2341"/>
      <c r="W57" s="2341"/>
      <c r="X57" s="2341"/>
      <c r="Y57" s="2341"/>
      <c r="Z57" s="2341"/>
      <c r="AA57" s="2341"/>
      <c r="AB57" s="2341"/>
      <c r="AC57" s="2341"/>
      <c r="AD57" s="2341"/>
      <c r="AE57" s="2341"/>
      <c r="AF57" s="2341"/>
      <c r="AG57" s="2341"/>
      <c r="AH57" s="2341"/>
      <c r="AI57" s="2341"/>
      <c r="AJ57" s="2341"/>
      <c r="AK57" s="2341"/>
      <c r="AQ57" s="1211">
        <v>14</v>
      </c>
    </row>
    <row customHeight="1" ht="22.5" hidden="1">
      <c r="A58" s="1216" t="s">
        <v>86</v>
      </c>
      <c r="B58" s="1216">
        <v>0</v>
      </c>
      <c r="C58" s="1216">
        <v>0</v>
      </c>
      <c r="D58" s="1216">
        <v>0</v>
      </c>
      <c r="E58" s="1216">
        <v>0</v>
      </c>
      <c r="F58" s="1216">
        <v>0</v>
      </c>
      <c r="G58" s="1216">
        <v>0</v>
      </c>
      <c r="H58" s="1216">
        <v>0</v>
      </c>
      <c r="I58" s="1216">
        <v>0</v>
      </c>
      <c r="J58" s="1216">
        <v>0</v>
      </c>
      <c r="K58" s="1216">
        <v>0</v>
      </c>
      <c r="L58" s="1534">
        <v>0</v>
      </c>
      <c r="M58" s="1418">
        <v>0</v>
      </c>
      <c r="N58" s="1418">
        <v>0</v>
      </c>
      <c r="O58" s="1418">
        <v>0</v>
      </c>
      <c r="P58" s="1529">
        <v>3</v>
      </c>
      <c r="Q58" s="400">
        <v>3</v>
      </c>
      <c r="R58" s="400">
        <v>3</v>
      </c>
      <c r="S58" s="637">
        <v>12</v>
      </c>
      <c r="T58" s="1211">
        <v>35</v>
      </c>
      <c r="U58" s="1211">
        <v>0</v>
      </c>
      <c r="V58" s="1211">
        <v>0</v>
      </c>
      <c r="W58" s="1211">
        <v>0</v>
      </c>
      <c r="X58" s="1211">
        <v>0</v>
      </c>
      <c r="Y58" s="1211">
        <v>0</v>
      </c>
      <c r="Z58" s="1211">
        <v>0</v>
      </c>
      <c r="AA58" s="1211">
        <v>0</v>
      </c>
      <c r="AB58" s="1211">
        <v>0</v>
      </c>
      <c r="AC58" s="1211">
        <v>24</v>
      </c>
      <c r="AD58" s="1211">
        <v>24</v>
      </c>
      <c r="AE58" s="1211">
        <v>24</v>
      </c>
      <c r="AF58" s="1211">
        <v>11</v>
      </c>
      <c r="AG58" s="1211">
        <v>3</v>
      </c>
      <c r="AH58" s="1211">
        <v>11</v>
      </c>
      <c r="AI58" s="1211">
        <v>0</v>
      </c>
      <c r="AJ58" s="1211">
        <v>4</v>
      </c>
      <c r="AK58" s="1211">
        <v>115</v>
      </c>
      <c r="AL58" s="567">
        <v>10</v>
      </c>
      <c r="AM58" s="567">
        <v>10</v>
      </c>
      <c r="AN58" s="567">
        <v>10</v>
      </c>
      <c r="AO58" s="567">
        <v>10</v>
      </c>
      <c r="AP58" s="567">
        <v>10</v>
      </c>
      <c r="AQ58" s="121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2D848F-5C75-C6FE-2976-A2DBD2F9A57E}" mc:Ignorable="x14ac xr xr2 xr3">
  <sheetPr>
    <tabColor theme="6" tint="0.4"/>
  </sheetPr>
  <dimension ref="A1:AQ58"/>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4" style="2774" width="24.7109375" hidden="1" customWidth="1"/>
    <col min="25" max="25" style="2774" width="11.7109375" hidden="1" customWidth="1"/>
    <col min="26" max="26" style="2774" width="3.7109375" hidden="1" customWidth="1"/>
    <col min="27" max="27" style="2774" width="11.7109375" hidden="1" customWidth="1"/>
    <col min="28" max="28" style="2774" width="8.57421875" hidden="1" customWidth="1"/>
    <col min="29" max="29" style="2774" width="24.7109375" customWidth="1"/>
    <col min="30" max="31" style="2774" width="24.00390625" customWidth="1"/>
    <col min="32" max="32" style="2774" width="11.00390625" customWidth="1"/>
    <col min="33" max="33" style="2774" width="3.7109375" customWidth="1"/>
    <col min="34" max="34" style="2774" width="11.00390625" customWidth="1"/>
    <col min="35" max="35" style="2774" width="8.57421875" hidden="1" customWidth="1"/>
    <col min="36" max="36" style="2774" width="4.00390625" customWidth="1"/>
    <col min="37" max="37" style="2774" width="115.00390625" customWidth="1"/>
    <col min="38" max="42" style="2851" width="10.00390625" customWidth="1"/>
    <col min="43" max="43" style="2774" width="10.57421875" hidden="1"/>
  </cols>
  <sheetData>
    <row customHeight="1" ht="22.5" hidden="1">
      <c r="X1" s="383"/>
      <c r="Y1" s="383"/>
      <c r="AE1" s="383"/>
      <c r="AF1" s="383"/>
      <c r="AQ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49">
        <f>INDEX(PT_DIFFERENTIATION_NUM_NTAR,MATCH(A2,PT_DIFFERENTIATION_NTAR_ID,0))</f>
      </c>
      <c r="T2" s="354" t="s">
        <v>202</v>
      </c>
      <c r="U2" s="356"/>
      <c r="V2" s="2298"/>
      <c r="W2" s="2299"/>
      <c r="X2" s="2299"/>
      <c r="Y2" s="2299"/>
      <c r="Z2" s="2299"/>
      <c r="AA2" s="2299"/>
      <c r="AB2" s="2300"/>
      <c r="AC2" s="2298">
        <f>INDEX(PT_DIFFERENTIATION_NTAR,MATCH(A2,PT_DIFFERENTIATION_NTAR_ID,0))</f>
      </c>
      <c r="AD2" s="2299"/>
      <c r="AE2" s="2299"/>
      <c r="AF2" s="2299"/>
      <c r="AG2" s="2299"/>
      <c r="AH2" s="2299"/>
      <c r="AI2" s="2299"/>
      <c r="AJ2" s="2300"/>
      <c r="AK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56"/>
      <c r="AN2" s="556" t="str">
        <f>IF(T2="","",T2)</f>
        <v>Наименование тарифа</v>
      </c>
      <c r="AO2" s="556"/>
      <c r="AP2" s="556"/>
      <c r="AQ2" s="1211">
        <v>0</v>
      </c>
    </row>
    <row customHeight="1" ht="23.25" hidden="1">
      <c r="A3" s="1419"/>
      <c r="B3" s="1419"/>
      <c r="C3" s="1419"/>
      <c r="D3" s="1419"/>
      <c r="E3" s="2315"/>
      <c r="F3" s="2314">
        <v>1</v>
      </c>
      <c r="G3" s="1419"/>
      <c r="H3" s="1419"/>
      <c r="I3" s="1419"/>
      <c r="J3" s="1419"/>
      <c r="K3" s="1419"/>
      <c r="L3" s="1420"/>
      <c r="M3" s="1421"/>
      <c r="N3" s="1421"/>
      <c r="O3" s="1421"/>
      <c r="P3" s="1543"/>
      <c r="Q3" s="408"/>
      <c r="R3" s="409"/>
      <c r="S3" s="1549">
        <f>INDEX(PT_DIFFERENTIATION_NUM_TER,MATCH(B3,PT_DIFFERENTIATION_TER_ID,0))</f>
      </c>
      <c r="T3" s="364" t="s">
        <v>529</v>
      </c>
      <c r="U3" s="356"/>
      <c r="V3" s="2298"/>
      <c r="W3" s="2299"/>
      <c r="X3" s="2299"/>
      <c r="Y3" s="2299"/>
      <c r="Z3" s="2299"/>
      <c r="AA3" s="2299"/>
      <c r="AB3" s="2300"/>
      <c r="AC3" s="2298">
        <f>INDEX(PT_DIFFERENTIATION_TER,MATCH(B3,PT_DIFFERENTIATION_TER_ID,0))</f>
      </c>
      <c r="AD3" s="2299"/>
      <c r="AE3" s="2299"/>
      <c r="AF3" s="2299"/>
      <c r="AG3" s="2299"/>
      <c r="AH3" s="2299"/>
      <c r="AI3" s="2299"/>
      <c r="AJ3" s="2300"/>
      <c r="AK3" s="1314" t="s">
        <v>530</v>
      </c>
      <c r="AM3" s="556"/>
      <c r="AN3" s="556" t="str">
        <f>IF(T3="","",T3)</f>
        <v>Территория действия тарифа</v>
      </c>
      <c r="AO3" s="556"/>
      <c r="AP3" s="556"/>
      <c r="AQ3" s="1211">
        <v>0</v>
      </c>
    </row>
    <row customHeight="1" ht="23.25" hidden="1">
      <c r="A4" s="1419"/>
      <c r="B4" s="1419"/>
      <c r="C4" s="1419"/>
      <c r="D4" s="1419"/>
      <c r="E4" s="2315"/>
      <c r="F4" s="2315"/>
      <c r="G4" s="2314">
        <v>1</v>
      </c>
      <c r="H4" s="1419"/>
      <c r="I4" s="1419"/>
      <c r="J4" s="1419"/>
      <c r="K4" s="1419"/>
      <c r="L4" s="1420"/>
      <c r="M4" s="1421"/>
      <c r="N4" s="1421"/>
      <c r="O4" s="1421"/>
      <c r="P4" s="410"/>
      <c r="Q4" s="408"/>
      <c r="R4" s="409"/>
      <c r="S4" s="1549">
        <f>INDEX(PT_DIFFERENTIATION_NUM_CS,MATCH(C4,PT_DIFFERENTIATION_CS_ID,0))</f>
      </c>
      <c r="T4" s="365" t="s">
        <v>649</v>
      </c>
      <c r="U4" s="356"/>
      <c r="V4" s="2298"/>
      <c r="W4" s="2299"/>
      <c r="X4" s="2299"/>
      <c r="Y4" s="2299"/>
      <c r="Z4" s="2299"/>
      <c r="AA4" s="2299"/>
      <c r="AB4" s="2300"/>
      <c r="AC4" s="2298">
        <f>INDEX(PT_DIFFERENTIATION_CS,MATCH(C4,PT_DIFFERENTIATION_CS_ID,0))</f>
      </c>
      <c r="AD4" s="2299"/>
      <c r="AE4" s="2299"/>
      <c r="AF4" s="2299"/>
      <c r="AG4" s="2299"/>
      <c r="AH4" s="2299"/>
      <c r="AI4" s="2299"/>
      <c r="AJ4" s="2300"/>
      <c r="AK4" s="1314" t="s">
        <v>650</v>
      </c>
      <c r="AM4" s="556"/>
      <c r="AN4" s="556" t="str">
        <f>IF(T4="","",T4)</f>
        <v>Наименование централизованной системы водоотведения</v>
      </c>
      <c r="AO4" s="556"/>
      <c r="AP4" s="556"/>
      <c r="AQ4" s="1211">
        <v>0</v>
      </c>
    </row>
    <row customHeight="1" ht="23.25" hidden="1">
      <c r="A5" s="1419"/>
      <c r="B5" s="1419"/>
      <c r="C5" s="1419"/>
      <c r="D5" s="1419"/>
      <c r="E5" s="2315"/>
      <c r="F5" s="2315"/>
      <c r="G5" s="2315"/>
      <c r="H5" s="2315"/>
      <c r="I5" s="2312">
        <f>S4&amp;".1"</f>
      </c>
      <c r="J5" s="1419"/>
      <c r="K5" s="1419"/>
      <c r="L5" s="1420"/>
      <c r="P5" s="2313">
        <v>1</v>
      </c>
      <c r="Q5" s="1537"/>
      <c r="R5" s="412"/>
      <c r="S5" s="1549">
        <f>$I5</f>
      </c>
      <c r="T5" s="341" t="s">
        <v>612</v>
      </c>
      <c r="U5" s="356"/>
      <c r="V5" s="2406"/>
      <c r="W5" s="2407"/>
      <c r="X5" s="2407"/>
      <c r="Y5" s="2407"/>
      <c r="Z5" s="2407"/>
      <c r="AA5" s="2407"/>
      <c r="AB5" s="2408"/>
      <c r="AC5" s="2409"/>
      <c r="AD5" s="2410"/>
      <c r="AE5" s="2410"/>
      <c r="AF5" s="2410"/>
      <c r="AG5" s="2410"/>
      <c r="AH5" s="2410"/>
      <c r="AI5" s="2410"/>
      <c r="AJ5" s="2411"/>
      <c r="AK5" s="1314" t="s">
        <v>613</v>
      </c>
      <c r="AM5" s="556"/>
      <c r="AN5" s="556" t="str">
        <f>IF(T5="","",T5)</f>
        <v>Наименование признака дифференциации</v>
      </c>
      <c r="AO5" s="556"/>
      <c r="AP5" s="556"/>
      <c r="AQ5" s="1211">
        <v>0</v>
      </c>
    </row>
    <row customHeight="1" ht="23.25" hidden="1">
      <c r="A6" s="1419"/>
      <c r="B6" s="1419"/>
      <c r="C6" s="1419"/>
      <c r="D6" s="1419"/>
      <c r="E6" s="2315"/>
      <c r="F6" s="2315"/>
      <c r="G6" s="2315"/>
      <c r="H6" s="2315"/>
      <c r="I6" s="2342"/>
      <c r="J6" s="2312">
        <f>I5&amp;".1"</f>
      </c>
      <c r="K6" s="1419"/>
      <c r="L6" s="1420" t="s">
        <v>538</v>
      </c>
      <c r="P6" s="2313"/>
      <c r="Q6" s="2313">
        <v>1</v>
      </c>
      <c r="R6" s="413"/>
      <c r="S6" s="1549">
        <f>$J6</f>
      </c>
      <c r="T6" s="342" t="s">
        <v>539</v>
      </c>
      <c r="U6" s="356"/>
      <c r="V6" s="2301"/>
      <c r="W6" s="2302"/>
      <c r="X6" s="2302"/>
      <c r="Y6" s="2302"/>
      <c r="Z6" s="2302"/>
      <c r="AA6" s="2302"/>
      <c r="AB6" s="2303"/>
      <c r="AC6" s="2301"/>
      <c r="AD6" s="2302"/>
      <c r="AE6" s="2302"/>
      <c r="AF6" s="2302"/>
      <c r="AG6" s="2302"/>
      <c r="AH6" s="2302"/>
      <c r="AI6" s="2302"/>
      <c r="AJ6" s="2303"/>
      <c r="AK6" s="1363" t="s">
        <v>614</v>
      </c>
      <c r="AM6" s="556"/>
      <c r="AN6" s="556" t="str">
        <f>IF(T6="","",T6)</f>
        <v>Группа потребителей</v>
      </c>
      <c r="AO6" s="556"/>
      <c r="AP6" s="556"/>
      <c r="AQ6" s="1211">
        <v>0</v>
      </c>
    </row>
    <row customHeight="1" ht="23.25" hidden="1">
      <c r="A7" s="1419"/>
      <c r="B7" s="1419"/>
      <c r="C7" s="1419"/>
      <c r="D7" s="1419"/>
      <c r="E7" s="2315"/>
      <c r="F7" s="2315"/>
      <c r="G7" s="2315"/>
      <c r="H7" s="2315"/>
      <c r="I7" s="2342"/>
      <c r="J7" s="2342"/>
      <c r="K7" s="2312">
        <f>J6&amp;".1"</f>
      </c>
      <c r="L7" s="1420"/>
      <c r="P7" s="2313"/>
      <c r="Q7" s="2313"/>
      <c r="R7" s="413">
        <v>1</v>
      </c>
      <c r="S7" s="1549">
        <f>$K7</f>
      </c>
      <c r="T7" s="1493"/>
      <c r="U7" s="356"/>
      <c r="V7" s="807"/>
      <c r="W7" s="807"/>
      <c r="X7" s="1313"/>
      <c r="Y7" s="2321"/>
      <c r="Z7" s="2163" t="s">
        <v>65</v>
      </c>
      <c r="AA7" s="2321"/>
      <c r="AB7" s="2163" t="s">
        <v>65</v>
      </c>
      <c r="AC7" s="807"/>
      <c r="AD7" s="807"/>
      <c r="AE7" s="1313"/>
      <c r="AF7" s="2321"/>
      <c r="AG7" s="2163" t="s">
        <v>65</v>
      </c>
      <c r="AH7" s="2343"/>
      <c r="AI7" s="2163" t="s">
        <v>65</v>
      </c>
      <c r="AJ7" s="1494"/>
      <c r="AK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67">
        <f>STRCHECKDATE(V8:AJ8)</f>
      </c>
      <c r="AM7" s="556"/>
      <c r="AN7" s="556" t="str">
        <f>IF(T7="","",T7)</f>
        <v/>
      </c>
      <c r="AO7" s="556"/>
      <c r="AP7" s="556"/>
      <c r="AQ7" s="1211">
        <v>0</v>
      </c>
    </row>
    <row customHeight="1" ht="14.25" hidden="1">
      <c r="A8" s="1419"/>
      <c r="B8" s="1419"/>
      <c r="C8" s="1419"/>
      <c r="D8" s="1419"/>
      <c r="E8" s="2315"/>
      <c r="F8" s="2315"/>
      <c r="G8" s="2315"/>
      <c r="H8" s="2315"/>
      <c r="I8" s="2342"/>
      <c r="J8" s="2342"/>
      <c r="K8" s="2312"/>
      <c r="L8" s="1420"/>
      <c r="P8" s="2313"/>
      <c r="Q8" s="2313"/>
      <c r="R8" s="413"/>
      <c r="S8" s="1546"/>
      <c r="T8" s="356"/>
      <c r="U8" s="356"/>
      <c r="V8" s="381"/>
      <c r="W8" s="381"/>
      <c r="X8" s="384" t="str">
        <f>Y7&amp;"-"&amp;AA7</f>
        <v>-</v>
      </c>
      <c r="Y8" s="2322"/>
      <c r="Z8" s="2163"/>
      <c r="AA8" s="2322"/>
      <c r="AB8" s="2163"/>
      <c r="AC8" s="381"/>
      <c r="AD8" s="381"/>
      <c r="AE8" s="384" t="str">
        <f>AF7&amp;"-"&amp;AH7</f>
        <v>-</v>
      </c>
      <c r="AF8" s="2322"/>
      <c r="AG8" s="2163"/>
      <c r="AH8" s="2344"/>
      <c r="AI8" s="2163"/>
      <c r="AJ8" s="1495"/>
      <c r="AK8" s="2405"/>
      <c r="AM8" s="556"/>
      <c r="AN8" s="556" t="str">
        <f>IF(T8="","",T8)</f>
        <v/>
      </c>
      <c r="AO8" s="556"/>
      <c r="AP8" s="556"/>
      <c r="AQ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423"/>
      <c r="X9" s="423"/>
      <c r="Y9" s="423"/>
      <c r="Z9" s="423"/>
      <c r="AA9" s="423"/>
      <c r="AB9" s="423"/>
      <c r="AC9" s="423"/>
      <c r="AD9" s="423"/>
      <c r="AE9" s="423"/>
      <c r="AF9" s="423"/>
      <c r="AG9" s="423"/>
      <c r="AH9" s="423"/>
      <c r="AI9" s="423"/>
      <c r="AJ9" s="423"/>
      <c r="AK9" s="1314" t="s">
        <v>616</v>
      </c>
      <c r="AM9" s="556"/>
      <c r="AN9" s="556" t="str">
        <f>IF(T9="","",T9)</f>
        <v>Добавить значение признака дифференциации</v>
      </c>
      <c r="AO9" s="556"/>
      <c r="AP9" s="556"/>
      <c r="AQ9" s="1211">
        <v>0</v>
      </c>
    </row>
    <row customHeight="1" ht="21" hidden="1">
      <c r="A10" s="1419"/>
      <c r="B10" s="1419"/>
      <c r="C10" s="1419"/>
      <c r="D10" s="1419"/>
      <c r="E10" s="2315"/>
      <c r="F10" s="2315"/>
      <c r="G10" s="2315"/>
      <c r="H10" s="2315"/>
      <c r="I10" s="2312"/>
      <c r="J10" s="1419"/>
      <c r="K10" s="1419"/>
      <c r="L10" s="1420"/>
      <c r="P10" s="2313"/>
      <c r="Q10" s="1537"/>
      <c r="R10" s="412"/>
      <c r="S10" s="1334"/>
      <c r="T10" s="421" t="s">
        <v>544</v>
      </c>
      <c r="U10" s="423"/>
      <c r="V10" s="423"/>
      <c r="W10" s="423"/>
      <c r="X10" s="423"/>
      <c r="Y10" s="423"/>
      <c r="Z10" s="423"/>
      <c r="AA10" s="423"/>
      <c r="AB10" s="422"/>
      <c r="AC10" s="423"/>
      <c r="AD10" s="423"/>
      <c r="AE10" s="423"/>
      <c r="AF10" s="423"/>
      <c r="AG10" s="423"/>
      <c r="AH10" s="423"/>
      <c r="AI10" s="422"/>
      <c r="AJ10" s="423"/>
      <c r="AK10" s="1496"/>
      <c r="AM10" s="556"/>
      <c r="AN10" s="556" t="str">
        <f>IF(T10="","",T10)</f>
        <v>Добавить группу потребителей</v>
      </c>
      <c r="AO10" s="556"/>
      <c r="AP10" s="556"/>
      <c r="AQ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423"/>
      <c r="X11" s="423"/>
      <c r="Y11" s="423"/>
      <c r="Z11" s="423"/>
      <c r="AA11" s="423"/>
      <c r="AB11" s="422"/>
      <c r="AC11" s="423"/>
      <c r="AD11" s="423"/>
      <c r="AE11" s="423"/>
      <c r="AF11" s="423"/>
      <c r="AG11" s="423"/>
      <c r="AH11" s="423"/>
      <c r="AI11" s="422"/>
      <c r="AJ11" s="423"/>
      <c r="AK11" s="359"/>
      <c r="AM11" s="556"/>
      <c r="AN11" s="556" t="str">
        <f>IF(T11="","",T11)</f>
        <v>Добавить наименование признака дифференциации</v>
      </c>
      <c r="AO11" s="556"/>
      <c r="AP11" s="556"/>
      <c r="AQ11" s="1211">
        <v>0</v>
      </c>
    </row>
    <row s="2851" customFormat="1" customHeight="1" ht="14.25" hidden="1">
      <c r="A12" s="1399"/>
      <c r="B12" s="1399"/>
      <c r="C12" s="1370"/>
      <c r="D12" s="1370"/>
      <c r="E12" s="2315"/>
      <c r="F12" s="2314"/>
      <c r="G12" s="1370"/>
      <c r="H12" s="1370"/>
      <c r="I12" s="1370"/>
      <c r="J12" s="1370"/>
      <c r="K12" s="1370"/>
      <c r="L12" s="1550"/>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M12" s="845"/>
      <c r="AN12" s="845" t="str">
        <f>IF(T12="","",T12)</f>
        <v>Добавить централизованную систему для дифференциации</v>
      </c>
      <c r="AO12" s="845"/>
      <c r="AP12" s="845"/>
      <c r="AQ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M13" s="556"/>
      <c r="AN13" s="556" t="str">
        <f>IF(T13="","",T13)</f>
        <v>Добавить территорию для дифференциации</v>
      </c>
      <c r="AO13" s="556"/>
      <c r="AP13" s="556"/>
      <c r="AQ13" s="567">
        <v>0</v>
      </c>
    </row>
    <row customHeight="1" ht="14.25" hidden="1">
      <c r="AB14" s="383"/>
      <c r="AI14" s="383"/>
      <c r="AQ14" s="1211">
        <v>0</v>
      </c>
    </row>
    <row customHeight="1" ht="14.25" hidden="1">
      <c r="AC15" s="1416"/>
      <c r="AD15" s="1416"/>
      <c r="AE15" s="1417"/>
      <c r="AF15" s="2323"/>
      <c r="AG15" s="2324" t="s">
        <v>65</v>
      </c>
      <c r="AH15" s="2323"/>
      <c r="AI15" s="2324" t="s">
        <v>65</v>
      </c>
      <c r="AQ15" s="1211">
        <v>0</v>
      </c>
    </row>
    <row customHeight="1" ht="14.25" hidden="1">
      <c r="AC16" s="1416"/>
      <c r="AD16" s="1416"/>
      <c r="AE16" s="384" t="str">
        <f>AF15&amp;"-"&amp;AH15</f>
        <v>-</v>
      </c>
      <c r="AF16" s="2324"/>
      <c r="AG16" s="2324"/>
      <c r="AH16" s="2324"/>
      <c r="AI16" s="2324"/>
      <c r="AQ16" s="1211">
        <v>0</v>
      </c>
    </row>
    <row customHeight="1" ht="14.25" hidden="1">
      <c r="AI17" s="383"/>
      <c r="AQ17" s="1211">
        <v>0</v>
      </c>
    </row>
    <row s="2850" customFormat="1" customHeight="1" ht="22.5" hidden="1">
      <c r="L18" s="1534"/>
      <c r="M18" s="1418"/>
      <c r="N18" s="1418"/>
      <c r="O18" s="1423" t="s">
        <v>547</v>
      </c>
      <c r="P18" s="1418"/>
      <c r="Q18" s="1427"/>
      <c r="R18" s="1427"/>
      <c r="S18" s="785"/>
      <c r="Y18" s="1423"/>
      <c r="AA18" s="1423"/>
      <c r="AB18" s="1422"/>
      <c r="AF18" s="1423"/>
      <c r="AH18" s="1423"/>
      <c r="AI18" s="1422"/>
      <c r="AL18" s="567"/>
      <c r="AM18" s="567"/>
      <c r="AN18" s="567"/>
      <c r="AO18" s="567"/>
      <c r="AP18" s="567"/>
      <c r="AQ18" s="1216">
        <v>0</v>
      </c>
    </row>
    <row s="2850" customFormat="1" customHeight="1" ht="14.25" hidden="1">
      <c r="L19" s="1534"/>
      <c r="M19" s="1418"/>
      <c r="N19" s="1418"/>
      <c r="O19" s="1418"/>
      <c r="P19" s="1418"/>
      <c r="Q19" s="1427"/>
      <c r="R19" s="1427"/>
      <c r="S19" s="785"/>
      <c r="AB19" s="1422"/>
      <c r="AI19" s="1422"/>
      <c r="AL19" s="567"/>
      <c r="AM19" s="567"/>
      <c r="AN19" s="567"/>
      <c r="AO19" s="567"/>
      <c r="AP19" s="567"/>
      <c r="AQ19" s="1216">
        <v>0</v>
      </c>
    </row>
    <row s="2850" customFormat="1" customHeight="1" ht="12" hidden="1">
      <c r="L20" s="1534"/>
      <c r="M20" s="1418"/>
      <c r="N20" s="1418"/>
      <c r="O20" s="1420" t="s">
        <v>548</v>
      </c>
      <c r="P20" s="1418"/>
      <c r="Q20" s="1498"/>
      <c r="R20" s="1498"/>
      <c r="S20" s="785"/>
      <c r="T20" s="1216" t="s">
        <v>549</v>
      </c>
      <c r="Z20" s="242" t="s">
        <v>550</v>
      </c>
      <c r="AB20" s="242" t="s">
        <v>551</v>
      </c>
      <c r="AC20" s="1216" t="s">
        <v>549</v>
      </c>
      <c r="AG20" s="242" t="s">
        <v>552</v>
      </c>
      <c r="AI20" s="242" t="s">
        <v>551</v>
      </c>
      <c r="AQ20" s="1216">
        <v>0</v>
      </c>
    </row>
    <row customHeight="1" ht="14.25" hidden="1">
      <c r="O21" s="1420"/>
      <c r="AQ21" s="1211">
        <v>0</v>
      </c>
    </row>
    <row customHeight="1" ht="14.25" hidden="1">
      <c r="O22" s="1420"/>
      <c r="AQ22" s="1211">
        <v>0</v>
      </c>
    </row>
    <row customHeight="1" ht="14.699999999999998">
      <c r="Q23" s="432"/>
      <c r="R23" s="432"/>
      <c r="S23" s="1331"/>
      <c r="T23" s="419"/>
      <c r="U23" s="419"/>
      <c r="V23" s="565"/>
      <c r="W23" s="565"/>
      <c r="X23" s="565"/>
      <c r="Y23" s="565"/>
      <c r="Z23" s="565"/>
      <c r="AA23" s="565"/>
      <c r="AB23" s="565"/>
      <c r="AC23" s="565"/>
      <c r="AD23" s="565"/>
      <c r="AE23" s="565"/>
      <c r="AF23" s="565"/>
      <c r="AG23" s="565"/>
      <c r="AH23" s="565"/>
      <c r="AI23" s="565"/>
      <c r="AQ23" s="1211">
        <v>14</v>
      </c>
    </row>
    <row customHeight="1" ht="14.699999999999998">
      <c r="Q24" s="432"/>
      <c r="R24" s="432"/>
      <c r="S24" s="230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04"/>
      <c r="U24" s="2304"/>
      <c r="V24" s="2304"/>
      <c r="W24" s="2304"/>
      <c r="X24" s="2304"/>
      <c r="Y24" s="2304"/>
      <c r="Z24" s="2304"/>
      <c r="AA24" s="2304"/>
      <c r="AB24" s="2304"/>
      <c r="AC24" s="2304"/>
      <c r="AD24" s="2304"/>
      <c r="AE24" s="2304"/>
      <c r="AF24" s="2304"/>
      <c r="AG24" s="2304"/>
      <c r="AH24" s="2304"/>
      <c r="AI24" s="1299"/>
      <c r="AQ24" s="1211">
        <v>14</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1299"/>
      <c r="AQ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565"/>
      <c r="AQ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382"/>
      <c r="AC27" s="2307" t="str">
        <f>IF(TITLE_NAME_OR_PR_CHANGE="",IF(TITLE_NAME_OR_PR="","",TITLE_NAME_OR_PR),TITLE_NAME_OR_PR_CHANGE)</f>
        <v>Министерство по тарифам и ценам Курской области</v>
      </c>
      <c r="AD27" s="2307"/>
      <c r="AE27" s="2307"/>
      <c r="AF27" s="2307"/>
      <c r="AG27" s="2307"/>
      <c r="AH27" s="2307"/>
      <c r="AI27" s="382"/>
      <c r="AJ27" s="382"/>
      <c r="AK27" s="336"/>
      <c r="AL27" s="424"/>
      <c r="AM27" s="424"/>
      <c r="AN27" s="424"/>
      <c r="AO27" s="424"/>
      <c r="AP27" s="424"/>
      <c r="AQ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382"/>
      <c r="AC28" s="2320" t="str">
        <f>IF(TITLE_DATE_PR_CHANGE="",IF(TITLE_DATE_PR="","",TITLE_DATE_PR),TITLE_DATE_PR_CHANGE)</f>
        <v>45645</v>
      </c>
      <c r="AD28" s="2320"/>
      <c r="AE28" s="2320"/>
      <c r="AF28" s="2320"/>
      <c r="AG28" s="2320"/>
      <c r="AH28" s="2320"/>
      <c r="AI28" s="382"/>
      <c r="AJ28" s="382"/>
      <c r="AK28" s="336"/>
      <c r="AL28" s="424"/>
      <c r="AM28" s="424"/>
      <c r="AN28" s="424"/>
      <c r="AO28" s="424"/>
      <c r="AP28" s="424"/>
      <c r="AQ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382"/>
      <c r="AC29" s="2307" t="str">
        <f>IF(TITLE_NUMBER_PR_CHANGE="",IF(TITLE_NUMBER_PR="","",TITLE_NUMBER_PR),TITLE_NUMBER_PR_CHANGE)</f>
        <v>208-вод</v>
      </c>
      <c r="AD29" s="2307"/>
      <c r="AE29" s="2307"/>
      <c r="AF29" s="2307"/>
      <c r="AG29" s="2307"/>
      <c r="AH29" s="2307"/>
      <c r="AI29" s="382"/>
      <c r="AJ29" s="382"/>
      <c r="AK29" s="336"/>
      <c r="AL29" s="424"/>
      <c r="AM29" s="424"/>
      <c r="AN29" s="424"/>
      <c r="AO29" s="424"/>
      <c r="AP29" s="424"/>
      <c r="AQ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382"/>
      <c r="AC30" s="2307" t="str">
        <f>IF(TITLE_IST_PUB_CHANGE="",IF(TITLE_IST_PUB="","",TITLE_IST_PUB),TITLE_IST_PUB_CHANGE)</f>
        <v>Газета "Курская правда" №155 от 26.12.2024 г.</v>
      </c>
      <c r="AD30" s="2307"/>
      <c r="AE30" s="2307"/>
      <c r="AF30" s="2307"/>
      <c r="AG30" s="2307"/>
      <c r="AH30" s="2307"/>
      <c r="AI30" s="382"/>
      <c r="AJ30" s="382"/>
      <c r="AK30" s="336"/>
      <c r="AL30" s="424"/>
      <c r="AM30" s="424"/>
      <c r="AN30" s="424"/>
      <c r="AO30" s="424"/>
      <c r="AP30" s="424"/>
      <c r="AQ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565"/>
      <c r="AQ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382"/>
      <c r="AC32" s="2320" t="str">
        <f>IF(TITLE_DATE_PR_CHANGE="",IF(TITLE_DATE_PR="","",TITLE_DATE_PR),TITLE_DATE_PR_CHANGE)</f>
        <v>45645</v>
      </c>
      <c r="AD32" s="2320"/>
      <c r="AE32" s="2320"/>
      <c r="AF32" s="2320"/>
      <c r="AG32" s="2320"/>
      <c r="AH32" s="2320"/>
      <c r="AI32" s="382"/>
      <c r="AJ32" s="382"/>
      <c r="AK32" s="336"/>
      <c r="AL32" s="424"/>
      <c r="AM32" s="424"/>
      <c r="AN32" s="424"/>
      <c r="AO32" s="424"/>
      <c r="AP32" s="424"/>
      <c r="AQ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382"/>
      <c r="AC33" s="2307" t="str">
        <f>IF(TITLE_NUMBER_PR_CHANGE="",IF(TITLE_NUMBER_PR="","",TITLE_NUMBER_PR),TITLE_NUMBER_PR_CHANGE)</f>
        <v>208-вод</v>
      </c>
      <c r="AD33" s="2307"/>
      <c r="AE33" s="2307"/>
      <c r="AF33" s="2307"/>
      <c r="AG33" s="2307"/>
      <c r="AH33" s="2307"/>
      <c r="AI33" s="382"/>
      <c r="AJ33" s="382"/>
      <c r="AK33" s="336"/>
      <c r="AL33" s="424"/>
      <c r="AM33" s="424"/>
      <c r="AN33" s="424"/>
      <c r="AO33" s="424"/>
      <c r="AP33" s="424"/>
      <c r="AQ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44"/>
      <c r="V34" s="382"/>
      <c r="W34" s="382"/>
      <c r="X34" s="382"/>
      <c r="Y34" s="382"/>
      <c r="Z34" s="382"/>
      <c r="AA34" s="382"/>
      <c r="AB34" s="334" t="s">
        <v>557</v>
      </c>
      <c r="AC34" s="382"/>
      <c r="AD34" s="382"/>
      <c r="AE34" s="382"/>
      <c r="AF34" s="382"/>
      <c r="AG34" s="382"/>
      <c r="AH34" s="382"/>
      <c r="AI34" s="334" t="s">
        <v>557</v>
      </c>
      <c r="AL34" s="424"/>
      <c r="AM34" s="424"/>
      <c r="AN34" s="424"/>
      <c r="AO34" s="424"/>
      <c r="AP34" s="424"/>
      <c r="AQ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Q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t="s">
        <v>433</v>
      </c>
      <c r="AQ36" s="1211">
        <v>14</v>
      </c>
    </row>
    <row customHeight="1" ht="14.699999999999998">
      <c r="Q37" s="432"/>
      <c r="R37" s="432"/>
      <c r="S37" s="2329" t="s">
        <v>92</v>
      </c>
      <c r="T37" s="2265" t="s">
        <v>558</v>
      </c>
      <c r="U37" s="357"/>
      <c r="V37" s="2330" t="s">
        <v>559</v>
      </c>
      <c r="W37" s="2331"/>
      <c r="X37" s="2331"/>
      <c r="Y37" s="2331"/>
      <c r="Z37" s="2331"/>
      <c r="AA37" s="2332"/>
      <c r="AB37" s="2333" t="s">
        <v>560</v>
      </c>
      <c r="AC37" s="2330" t="s">
        <v>559</v>
      </c>
      <c r="AD37" s="2331"/>
      <c r="AE37" s="2331"/>
      <c r="AF37" s="2331"/>
      <c r="AG37" s="2331"/>
      <c r="AH37" s="2332"/>
      <c r="AI37" s="2333" t="s">
        <v>561</v>
      </c>
      <c r="AJ37" s="2336" t="s">
        <v>562</v>
      </c>
      <c r="AK37" s="2183"/>
      <c r="AQ37" s="1211">
        <v>14</v>
      </c>
    </row>
    <row customHeight="1" ht="35.699999999999996">
      <c r="Q38" s="432"/>
      <c r="R38" s="432"/>
      <c r="S38" s="2329"/>
      <c r="T38" s="2265"/>
      <c r="U38" s="1087"/>
      <c r="V38" s="1539" t="s">
        <v>618</v>
      </c>
      <c r="W38" s="2318" t="s">
        <v>565</v>
      </c>
      <c r="X38" s="2319"/>
      <c r="Y38" s="2318" t="s">
        <v>566</v>
      </c>
      <c r="Z38" s="2325"/>
      <c r="AA38" s="2319"/>
      <c r="AB38" s="2334"/>
      <c r="AC38" s="1539" t="s">
        <v>618</v>
      </c>
      <c r="AD38" s="2318" t="s">
        <v>565</v>
      </c>
      <c r="AE38" s="2319"/>
      <c r="AF38" s="2318" t="s">
        <v>566</v>
      </c>
      <c r="AG38" s="2325"/>
      <c r="AH38" s="2319"/>
      <c r="AI38" s="2334"/>
      <c r="AJ38" s="2337"/>
      <c r="AK38" s="2183"/>
      <c r="AQ38" s="1211">
        <v>34</v>
      </c>
    </row>
    <row customHeight="1" ht="90.3">
      <c r="A39" s="1426"/>
      <c r="B39" s="1426" t="s">
        <v>214</v>
      </c>
      <c r="C39" s="1426" t="s">
        <v>215</v>
      </c>
      <c r="D39" s="1426" t="s">
        <v>216</v>
      </c>
      <c r="E39" s="1420" t="s">
        <v>567</v>
      </c>
      <c r="F39" s="1420" t="s">
        <v>568</v>
      </c>
      <c r="G39" s="1420" t="s">
        <v>569</v>
      </c>
      <c r="H39" s="1420"/>
      <c r="I39" s="1420" t="s">
        <v>619</v>
      </c>
      <c r="J39" s="1420" t="s">
        <v>572</v>
      </c>
      <c r="K39" s="1420" t="s">
        <v>620</v>
      </c>
      <c r="L39" s="1420" t="s">
        <v>548</v>
      </c>
      <c r="Q39" s="432"/>
      <c r="R39" s="432"/>
      <c r="S39" s="2329"/>
      <c r="T39" s="2265"/>
      <c r="U39" s="358"/>
      <c r="V39" s="1539" t="s">
        <v>651</v>
      </c>
      <c r="W39" s="1278" t="s">
        <v>652</v>
      </c>
      <c r="X39" s="1278" t="s">
        <v>623</v>
      </c>
      <c r="Y39" s="1545" t="s">
        <v>576</v>
      </c>
      <c r="Z39" s="2326" t="s">
        <v>577</v>
      </c>
      <c r="AA39" s="2327"/>
      <c r="AB39" s="2335"/>
      <c r="AC39" s="1539" t="s">
        <v>651</v>
      </c>
      <c r="AD39" s="1278" t="s">
        <v>652</v>
      </c>
      <c r="AE39" s="1278" t="s">
        <v>623</v>
      </c>
      <c r="AF39" s="1545" t="s">
        <v>576</v>
      </c>
      <c r="AG39" s="2326" t="s">
        <v>577</v>
      </c>
      <c r="AH39" s="2327"/>
      <c r="AI39" s="2335"/>
      <c r="AJ39" s="2338"/>
      <c r="AK39" s="2183"/>
      <c r="AQ39" s="1211">
        <v>86</v>
      </c>
    </row>
    <row s="3442" customFormat="1" customHeight="1" ht="0">
      <c r="A40" s="1426"/>
      <c r="B40" s="1426"/>
      <c r="C40" s="1426"/>
      <c r="D40" s="1426"/>
      <c r="E40" s="1426"/>
      <c r="F40" s="1426"/>
      <c r="G40" s="1426"/>
      <c r="H40" s="1426"/>
      <c r="I40" s="1426"/>
      <c r="J40" s="1426"/>
      <c r="K40" s="1426"/>
      <c r="L40" s="1420"/>
      <c r="M40" s="1418"/>
      <c r="N40" s="1418"/>
      <c r="O40" s="1418"/>
      <c r="P40" s="1302"/>
      <c r="Q40" s="1303"/>
      <c r="R40" s="1310">
        <v>1</v>
      </c>
      <c r="S40" s="1333" t="s">
        <v>191</v>
      </c>
      <c r="T40" s="1311" t="s">
        <v>108</v>
      </c>
      <c r="U40" s="1301" t="str">
        <f>OFFSET(U40,0,-1)</f>
        <v>2</v>
      </c>
      <c r="V40" s="1538">
        <f>OFFSET(V40,0,-1)+1</f>
        <v>3</v>
      </c>
      <c r="W40" s="1538">
        <f>OFFSET(W40,0,-1)+1</f>
        <v>4</v>
      </c>
      <c r="X40" s="1538">
        <f>OFFSET(X40,0,-1)+1</f>
        <v>5</v>
      </c>
      <c r="Y40" s="1538">
        <f>OFFSET(Y40,0,-1)+1</f>
        <v>6</v>
      </c>
      <c r="Z40" s="2328">
        <f>OFFSET(Z40,0,-1)+1</f>
        <v>7</v>
      </c>
      <c r="AA40" s="2328"/>
      <c r="AB40" s="1538">
        <f>OFFSET(AB40,0,-2)+1</f>
        <v>8</v>
      </c>
      <c r="AC40" s="1538">
        <f>OFFSET(AC40,0,-1)+1</f>
        <v>9</v>
      </c>
      <c r="AD40" s="1538">
        <f>OFFSET(AD40,0,-1)+1</f>
        <v>10</v>
      </c>
      <c r="AE40" s="1538">
        <f>OFFSET(AE40,0,-1)+1</f>
        <v>11</v>
      </c>
      <c r="AF40" s="1538">
        <f>OFFSET(AF40,0,-1)+1</f>
        <v>12</v>
      </c>
      <c r="AG40" s="2328">
        <f>OFFSET(AG40,0,-1)+1</f>
        <v>13</v>
      </c>
      <c r="AH40" s="2328"/>
      <c r="AI40" s="1538">
        <f>OFFSET(AI40,0,-2)+1</f>
        <v>14</v>
      </c>
      <c r="AJ40" s="1301">
        <f>OFFSET(AJ40,0,-1)</f>
        <v>14</v>
      </c>
      <c r="AK40" s="1538">
        <f>OFFSET(AK40,0,-1)+1</f>
        <v>15</v>
      </c>
      <c r="AL40" s="567"/>
      <c r="AM40" s="567"/>
      <c r="AN40" s="567"/>
      <c r="AO40" s="567"/>
      <c r="AP40" s="567"/>
      <c r="AQ40" s="552">
        <v>0</v>
      </c>
    </row>
    <row customHeight="1" ht="24">
      <c r="A41" s="1419" t="s">
        <v>403</v>
      </c>
      <c r="B41" s="1419"/>
      <c r="C41" s="1419"/>
      <c r="D41" s="1419"/>
      <c r="E41" s="2314">
        <v>1</v>
      </c>
      <c r="F41" s="1419"/>
      <c r="G41" s="1419"/>
      <c r="H41" s="1419"/>
      <c r="I41" s="1419"/>
      <c r="J41" s="1419"/>
      <c r="K41" s="1419"/>
      <c r="L41" s="1420"/>
      <c r="M41" s="1421"/>
      <c r="N41" s="1421"/>
      <c r="O41" s="1421"/>
      <c r="P41" s="417"/>
      <c r="Q41" s="416"/>
      <c r="R41" s="411"/>
      <c r="S41" s="1549">
        <f>INDEX(PT_DIFFERENTIATION_NUM_NTAR,MATCH(A41,PT_DIFFERENTIATION_NTAR_ID,0))</f>
        <v>0</v>
      </c>
      <c r="T41" s="354" t="s">
        <v>202</v>
      </c>
      <c r="U41" s="356"/>
      <c r="V41" s="2298"/>
      <c r="W41" s="2299"/>
      <c r="X41" s="2299"/>
      <c r="Y41" s="2299"/>
      <c r="Z41" s="2299"/>
      <c r="AA41" s="2299"/>
      <c r="AB41" s="2300"/>
      <c r="AC41" s="2298" t="str">
        <f>INDEX(PT_DIFFERENTIATION_NTAR,MATCH(A41,PT_DIFFERENTIATION_NTAR_ID,0))</f>
        <v/>
      </c>
      <c r="AD41" s="2299"/>
      <c r="AE41" s="2299"/>
      <c r="AF41" s="2299"/>
      <c r="AG41" s="2299"/>
      <c r="AH41" s="2299"/>
      <c r="AI41" s="2299"/>
      <c r="AJ41" s="2300"/>
      <c r="AK41"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56"/>
      <c r="AN41" s="556" t="str">
        <f>IF(T41="","",T41)</f>
        <v>Наименование тарифа</v>
      </c>
      <c r="AO41" s="556"/>
      <c r="AP41" s="556"/>
      <c r="AQ41" s="1211">
        <v>23</v>
      </c>
    </row>
    <row customHeight="1" ht="24">
      <c r="A42" s="1419" t="s">
        <v>403</v>
      </c>
      <c r="B42" s="1419" t="s">
        <v>404</v>
      </c>
      <c r="C42" s="1419"/>
      <c r="D42" s="1419"/>
      <c r="E42" s="2315"/>
      <c r="F42" s="2314">
        <v>1</v>
      </c>
      <c r="G42" s="1419"/>
      <c r="H42" s="1419"/>
      <c r="I42" s="1419"/>
      <c r="J42" s="1419"/>
      <c r="K42" s="1419"/>
      <c r="L42" s="1420"/>
      <c r="M42" s="1421"/>
      <c r="N42" s="1421"/>
      <c r="O42" s="1421"/>
      <c r="P42" s="1543"/>
      <c r="Q42" s="408"/>
      <c r="R42" s="409"/>
      <c r="S42" s="1549" t="str">
        <f>INDEX(PT_DIFFERENTIATION_NUM_TER,MATCH(B42,PT_DIFFERENTIATION_TER_ID,0))</f>
        <v>.</v>
      </c>
      <c r="T42" s="364" t="s">
        <v>529</v>
      </c>
      <c r="U42" s="356"/>
      <c r="V42" s="2298"/>
      <c r="W42" s="2299"/>
      <c r="X42" s="2299"/>
      <c r="Y42" s="2299"/>
      <c r="Z42" s="2299"/>
      <c r="AA42" s="2299"/>
      <c r="AB42" s="2300"/>
      <c r="AC42" s="2298" t="str">
        <f>INDEX(PT_DIFFERENTIATION_TER,MATCH(B42,PT_DIFFERENTIATION_TER_ID,0))</f>
        <v/>
      </c>
      <c r="AD42" s="2299"/>
      <c r="AE42" s="2299"/>
      <c r="AF42" s="2299"/>
      <c r="AG42" s="2299"/>
      <c r="AH42" s="2299"/>
      <c r="AI42" s="2299"/>
      <c r="AJ42" s="2300"/>
      <c r="AK42" s="1314" t="s">
        <v>530</v>
      </c>
      <c r="AM42" s="556"/>
      <c r="AN42" s="556" t="str">
        <f>IF(T42="","",T42)</f>
        <v>Территория действия тарифа</v>
      </c>
      <c r="AO42" s="556"/>
      <c r="AP42" s="556"/>
      <c r="AQ42" s="1211">
        <v>23</v>
      </c>
    </row>
    <row customHeight="1" ht="24">
      <c r="A43" s="1419" t="s">
        <v>403</v>
      </c>
      <c r="B43" s="1419" t="s">
        <v>404</v>
      </c>
      <c r="C43" s="1419" t="s">
        <v>405</v>
      </c>
      <c r="D43" s="1419"/>
      <c r="E43" s="2315"/>
      <c r="F43" s="2315"/>
      <c r="G43" s="2314">
        <v>1</v>
      </c>
      <c r="H43" s="1419"/>
      <c r="I43" s="1419"/>
      <c r="J43" s="1419"/>
      <c r="K43" s="1419"/>
      <c r="L43" s="1420"/>
      <c r="M43" s="1421"/>
      <c r="N43" s="1421"/>
      <c r="O43" s="1421"/>
      <c r="P43" s="410"/>
      <c r="Q43" s="408"/>
      <c r="R43" s="409"/>
      <c r="S43" s="1549" t="str">
        <f>INDEX(PT_DIFFERENTIATION_NUM_CS,MATCH(C43,PT_DIFFERENTIATION_CS_ID,0))</f>
        <v>..</v>
      </c>
      <c r="T43" s="365" t="s">
        <v>649</v>
      </c>
      <c r="U43" s="356"/>
      <c r="V43" s="2298"/>
      <c r="W43" s="2299"/>
      <c r="X43" s="2299"/>
      <c r="Y43" s="2299"/>
      <c r="Z43" s="2299"/>
      <c r="AA43" s="2299"/>
      <c r="AB43" s="2300"/>
      <c r="AC43" s="2298" t="str">
        <f>INDEX(PT_DIFFERENTIATION_CS,MATCH(C43,PT_DIFFERENTIATION_CS_ID,0))</f>
        <v/>
      </c>
      <c r="AD43" s="2299"/>
      <c r="AE43" s="2299"/>
      <c r="AF43" s="2299"/>
      <c r="AG43" s="2299"/>
      <c r="AH43" s="2299"/>
      <c r="AI43" s="2299"/>
      <c r="AJ43" s="2300"/>
      <c r="AK43" s="1314" t="s">
        <v>650</v>
      </c>
      <c r="AM43" s="556"/>
      <c r="AN43" s="556" t="str">
        <f>IF(T43="","",T43)</f>
        <v>Наименование централизованной системы водоотведения</v>
      </c>
      <c r="AO43" s="556"/>
      <c r="AP43" s="556"/>
      <c r="AQ43" s="1211">
        <v>23</v>
      </c>
    </row>
    <row customHeight="1" ht="24">
      <c r="A44" s="1419" t="s">
        <v>403</v>
      </c>
      <c r="B44" s="1419" t="s">
        <v>404</v>
      </c>
      <c r="C44" s="1419" t="s">
        <v>405</v>
      </c>
      <c r="D44" s="1419" t="s">
        <v>654</v>
      </c>
      <c r="E44" s="2315"/>
      <c r="F44" s="2315"/>
      <c r="G44" s="2315"/>
      <c r="H44" s="2315"/>
      <c r="I44" s="2312" t="str">
        <f>S43&amp;".1"</f>
        <v>...1</v>
      </c>
      <c r="J44" s="1419"/>
      <c r="K44" s="1419"/>
      <c r="L44" s="1420"/>
      <c r="P44" s="2313">
        <v>1</v>
      </c>
      <c r="Q44" s="1537"/>
      <c r="R44" s="412"/>
      <c r="S44" s="1549" t="str">
        <f>$I44</f>
        <v>...1</v>
      </c>
      <c r="T44" s="341" t="s">
        <v>612</v>
      </c>
      <c r="U44" s="356"/>
      <c r="V44" s="2406"/>
      <c r="W44" s="2407"/>
      <c r="X44" s="2407"/>
      <c r="Y44" s="2407"/>
      <c r="Z44" s="2407"/>
      <c r="AA44" s="2407"/>
      <c r="AB44" s="2408"/>
      <c r="AC44" s="2409"/>
      <c r="AD44" s="2410"/>
      <c r="AE44" s="2410"/>
      <c r="AF44" s="2410"/>
      <c r="AG44" s="2410"/>
      <c r="AH44" s="2410"/>
      <c r="AI44" s="2410"/>
      <c r="AJ44" s="2411"/>
      <c r="AK44" s="1314" t="s">
        <v>613</v>
      </c>
      <c r="AM44" s="556"/>
      <c r="AN44" s="556" t="str">
        <f>IF(T44="","",T44)</f>
        <v>Наименование признака дифференциации</v>
      </c>
      <c r="AO44" s="556"/>
      <c r="AP44" s="556"/>
      <c r="AQ44" s="1211">
        <v>23</v>
      </c>
    </row>
    <row customHeight="1" ht="24">
      <c r="A45" s="1419" t="s">
        <v>403</v>
      </c>
      <c r="B45" s="1419" t="s">
        <v>404</v>
      </c>
      <c r="C45" s="1419" t="s">
        <v>405</v>
      </c>
      <c r="D45" s="1419" t="s">
        <v>654</v>
      </c>
      <c r="E45" s="2315"/>
      <c r="F45" s="2315"/>
      <c r="G45" s="2315"/>
      <c r="H45" s="2315"/>
      <c r="I45" s="2342"/>
      <c r="J45" s="2312" t="str">
        <f>I44&amp;".1"</f>
        <v>...1.1</v>
      </c>
      <c r="K45" s="1419"/>
      <c r="L45" s="1420" t="s">
        <v>538</v>
      </c>
      <c r="P45" s="2313"/>
      <c r="Q45" s="2313">
        <v>1</v>
      </c>
      <c r="R45" s="413"/>
      <c r="S45" s="1549" t="str">
        <f>$J45</f>
        <v>...1.1</v>
      </c>
      <c r="T45" s="342" t="s">
        <v>539</v>
      </c>
      <c r="U45" s="356"/>
      <c r="V45" s="2301"/>
      <c r="W45" s="2302"/>
      <c r="X45" s="2302"/>
      <c r="Y45" s="2302"/>
      <c r="Z45" s="2302"/>
      <c r="AA45" s="2302"/>
      <c r="AB45" s="2303"/>
      <c r="AC45" s="2301"/>
      <c r="AD45" s="2302"/>
      <c r="AE45" s="2302"/>
      <c r="AF45" s="2302"/>
      <c r="AG45" s="2302"/>
      <c r="AH45" s="2302"/>
      <c r="AI45" s="2302"/>
      <c r="AJ45" s="2303"/>
      <c r="AK45" s="1363" t="s">
        <v>614</v>
      </c>
      <c r="AM45" s="556"/>
      <c r="AN45" s="556" t="str">
        <f>IF(T45="","",T45)</f>
        <v>Группа потребителей</v>
      </c>
      <c r="AO45" s="556"/>
      <c r="AP45" s="556"/>
      <c r="AQ45" s="1211">
        <v>23</v>
      </c>
    </row>
    <row customHeight="1" ht="24">
      <c r="A46" s="1419" t="s">
        <v>403</v>
      </c>
      <c r="B46" s="1419" t="s">
        <v>404</v>
      </c>
      <c r="C46" s="1419" t="s">
        <v>405</v>
      </c>
      <c r="D46" s="1419" t="s">
        <v>654</v>
      </c>
      <c r="E46" s="2315"/>
      <c r="F46" s="2315"/>
      <c r="G46" s="2315"/>
      <c r="H46" s="2315"/>
      <c r="I46" s="2342"/>
      <c r="J46" s="2342"/>
      <c r="K46" s="2312" t="str">
        <f>J45&amp;".1"</f>
        <v>...1.1.1</v>
      </c>
      <c r="L46" s="1420"/>
      <c r="P46" s="2313"/>
      <c r="Q46" s="2313"/>
      <c r="R46" s="413">
        <v>1</v>
      </c>
      <c r="S46" s="1549" t="str">
        <f>$K46</f>
        <v>...1.1.1</v>
      </c>
      <c r="T46" s="1493"/>
      <c r="U46" s="356"/>
      <c r="V46" s="1416"/>
      <c r="W46" s="1416"/>
      <c r="X46" s="1417"/>
      <c r="Y46" s="2323"/>
      <c r="Z46" s="2324" t="s">
        <v>65</v>
      </c>
      <c r="AA46" s="2323"/>
      <c r="AB46" s="2324" t="s">
        <v>65</v>
      </c>
      <c r="AC46" s="807"/>
      <c r="AD46" s="807"/>
      <c r="AE46" s="1313"/>
      <c r="AF46" s="2321"/>
      <c r="AG46" s="2163" t="s">
        <v>65</v>
      </c>
      <c r="AH46" s="2343"/>
      <c r="AI46" s="2163" t="s">
        <v>19</v>
      </c>
      <c r="AJ46" s="1494"/>
      <c r="AK46"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67">
        <f>STRCHECKDATE(V47:AJ47)</f>
      </c>
      <c r="AM46" s="556"/>
      <c r="AN46" s="556" t="str">
        <f>IF(T46="","",T46)</f>
        <v/>
      </c>
      <c r="AO46" s="556"/>
      <c r="AP46" s="556"/>
      <c r="AQ46" s="1211">
        <v>23</v>
      </c>
    </row>
    <row customHeight="1" ht="0">
      <c r="A47" s="1419" t="s">
        <v>403</v>
      </c>
      <c r="B47" s="1419" t="s">
        <v>404</v>
      </c>
      <c r="C47" s="1419" t="s">
        <v>405</v>
      </c>
      <c r="D47" s="1419" t="s">
        <v>654</v>
      </c>
      <c r="E47" s="2315"/>
      <c r="F47" s="2315"/>
      <c r="G47" s="2315"/>
      <c r="H47" s="2315"/>
      <c r="I47" s="2342"/>
      <c r="J47" s="2342"/>
      <c r="K47" s="2312"/>
      <c r="L47" s="1420"/>
      <c r="P47" s="2313"/>
      <c r="Q47" s="2313"/>
      <c r="R47" s="413"/>
      <c r="S47" s="1546"/>
      <c r="T47" s="356"/>
      <c r="U47" s="356"/>
      <c r="V47" s="1416"/>
      <c r="W47" s="1416"/>
      <c r="X47" s="384" t="str">
        <f>Y46&amp;"-"&amp;AA46</f>
        <v>-</v>
      </c>
      <c r="Y47" s="2324"/>
      <c r="Z47" s="2324"/>
      <c r="AA47" s="2324"/>
      <c r="AB47" s="2324"/>
      <c r="AC47" s="381"/>
      <c r="AD47" s="381"/>
      <c r="AE47" s="384" t="str">
        <f>AF46&amp;"-"&amp;AH46</f>
        <v>-</v>
      </c>
      <c r="AF47" s="2322"/>
      <c r="AG47" s="2163"/>
      <c r="AH47" s="2344"/>
      <c r="AI47" s="2163"/>
      <c r="AJ47" s="1495"/>
      <c r="AK47" s="2405"/>
      <c r="AM47" s="556"/>
      <c r="AN47" s="556" t="str">
        <f>IF(T47="","",T47)</f>
        <v/>
      </c>
      <c r="AO47" s="556"/>
      <c r="AP47" s="556"/>
      <c r="AQ47" s="1211">
        <v>0</v>
      </c>
    </row>
    <row customHeight="1" ht="21">
      <c r="A48" s="1419" t="s">
        <v>403</v>
      </c>
      <c r="B48" s="1419" t="s">
        <v>404</v>
      </c>
      <c r="C48" s="1419" t="s">
        <v>405</v>
      </c>
      <c r="D48" s="1419" t="s">
        <v>654</v>
      </c>
      <c r="E48" s="2315"/>
      <c r="F48" s="2315"/>
      <c r="G48" s="2315"/>
      <c r="H48" s="2315"/>
      <c r="I48" s="2342"/>
      <c r="J48" s="2312"/>
      <c r="K48" s="1419"/>
      <c r="L48" s="1420"/>
      <c r="P48" s="2313"/>
      <c r="Q48" s="2313"/>
      <c r="R48" s="412"/>
      <c r="S48" s="1334"/>
      <c r="T48" s="343" t="s">
        <v>615</v>
      </c>
      <c r="U48" s="423"/>
      <c r="V48" s="423"/>
      <c r="W48" s="423"/>
      <c r="X48" s="423"/>
      <c r="Y48" s="423"/>
      <c r="Z48" s="423"/>
      <c r="AA48" s="423"/>
      <c r="AB48" s="423"/>
      <c r="AC48" s="423"/>
      <c r="AD48" s="423"/>
      <c r="AE48" s="423"/>
      <c r="AF48" s="423"/>
      <c r="AG48" s="423"/>
      <c r="AH48" s="423"/>
      <c r="AI48" s="423"/>
      <c r="AJ48" s="423"/>
      <c r="AK48" s="1314" t="s">
        <v>616</v>
      </c>
      <c r="AM48" s="556"/>
      <c r="AN48" s="556" t="str">
        <f>IF(T48="","",T48)</f>
        <v>Добавить значение признака дифференциации</v>
      </c>
      <c r="AO48" s="556"/>
      <c r="AP48" s="556"/>
      <c r="AQ48" s="1211">
        <v>20</v>
      </c>
    </row>
    <row customHeight="1" ht="22.049999999999997">
      <c r="A49" s="1419" t="s">
        <v>403</v>
      </c>
      <c r="B49" s="1419" t="s">
        <v>404</v>
      </c>
      <c r="C49" s="1419" t="s">
        <v>405</v>
      </c>
      <c r="D49" s="1419" t="s">
        <v>654</v>
      </c>
      <c r="E49" s="2315"/>
      <c r="F49" s="2315"/>
      <c r="G49" s="2315"/>
      <c r="H49" s="2315"/>
      <c r="I49" s="2312"/>
      <c r="J49" s="1419"/>
      <c r="K49" s="1419"/>
      <c r="L49" s="1420"/>
      <c r="P49" s="2313"/>
      <c r="Q49" s="1537"/>
      <c r="R49" s="412"/>
      <c r="S49" s="1334"/>
      <c r="T49" s="421" t="s">
        <v>544</v>
      </c>
      <c r="U49" s="423"/>
      <c r="V49" s="423"/>
      <c r="W49" s="423"/>
      <c r="X49" s="423"/>
      <c r="Y49" s="423"/>
      <c r="Z49" s="423"/>
      <c r="AA49" s="423"/>
      <c r="AB49" s="422"/>
      <c r="AC49" s="423"/>
      <c r="AD49" s="423"/>
      <c r="AE49" s="423"/>
      <c r="AF49" s="423"/>
      <c r="AG49" s="423"/>
      <c r="AH49" s="423"/>
      <c r="AI49" s="422"/>
      <c r="AJ49" s="423"/>
      <c r="AK49" s="1496"/>
      <c r="AM49" s="556"/>
      <c r="AN49" s="556" t="str">
        <f>IF(T49="","",T49)</f>
        <v>Добавить группу потребителей</v>
      </c>
      <c r="AO49" s="556"/>
      <c r="AP49" s="556"/>
      <c r="AQ49" s="1211">
        <v>21</v>
      </c>
    </row>
    <row customHeight="1" ht="22.049999999999997">
      <c r="A50" s="1419" t="s">
        <v>403</v>
      </c>
      <c r="B50" s="1419" t="s">
        <v>404</v>
      </c>
      <c r="C50" s="1419" t="s">
        <v>405</v>
      </c>
      <c r="D50" s="1419" t="s">
        <v>654</v>
      </c>
      <c r="E50" s="2315"/>
      <c r="F50" s="2315"/>
      <c r="G50" s="2315"/>
      <c r="H50" s="2314"/>
      <c r="I50" s="1419"/>
      <c r="J50" s="1419"/>
      <c r="K50" s="1419"/>
      <c r="L50" s="1420"/>
      <c r="M50" s="1421"/>
      <c r="N50" s="1421"/>
      <c r="O50" s="593"/>
      <c r="P50" s="416"/>
      <c r="Q50" s="431"/>
      <c r="R50" s="411"/>
      <c r="S50" s="1334"/>
      <c r="T50" s="428" t="s">
        <v>617</v>
      </c>
      <c r="U50" s="423"/>
      <c r="V50" s="423"/>
      <c r="W50" s="423"/>
      <c r="X50" s="423"/>
      <c r="Y50" s="423"/>
      <c r="Z50" s="423"/>
      <c r="AA50" s="423"/>
      <c r="AB50" s="422"/>
      <c r="AC50" s="423"/>
      <c r="AD50" s="423"/>
      <c r="AE50" s="423"/>
      <c r="AF50" s="423"/>
      <c r="AG50" s="423"/>
      <c r="AH50" s="423"/>
      <c r="AI50" s="422"/>
      <c r="AJ50" s="423"/>
      <c r="AK50" s="359"/>
      <c r="AM50" s="556"/>
      <c r="AN50" s="556" t="str">
        <f>IF(T50="","",T50)</f>
        <v>Добавить наименование признака дифференциации</v>
      </c>
      <c r="AO50" s="556"/>
      <c r="AP50" s="556"/>
      <c r="AQ50" s="1211">
        <v>21</v>
      </c>
    </row>
    <row s="2851" customFormat="1" customHeight="1" ht="0">
      <c r="A51" s="1399" t="s">
        <v>403</v>
      </c>
      <c r="B51" s="1399" t="s">
        <v>404</v>
      </c>
      <c r="C51" s="1370"/>
      <c r="D51" s="1370"/>
      <c r="E51" s="2315"/>
      <c r="F51" s="2314"/>
      <c r="G51" s="1370"/>
      <c r="H51" s="1370"/>
      <c r="I51" s="1370"/>
      <c r="J51" s="1370"/>
      <c r="K51" s="1370"/>
      <c r="L51" s="1550"/>
      <c r="M51" s="1377"/>
      <c r="N51" s="1377"/>
      <c r="P51" s="1372"/>
      <c r="Q51" s="1373"/>
      <c r="R51" s="1372"/>
      <c r="S51" s="1378"/>
      <c r="T51" s="1381" t="s">
        <v>302</v>
      </c>
      <c r="U51" s="1380"/>
      <c r="V51" s="1380"/>
      <c r="W51" s="1380"/>
      <c r="X51" s="1380"/>
      <c r="Y51" s="1380"/>
      <c r="Z51" s="1380"/>
      <c r="AA51" s="1380"/>
      <c r="AB51" s="1380"/>
      <c r="AC51" s="1380"/>
      <c r="AD51" s="1380"/>
      <c r="AE51" s="1380"/>
      <c r="AF51" s="1380"/>
      <c r="AG51" s="1380"/>
      <c r="AH51" s="1380"/>
      <c r="AI51" s="1380"/>
      <c r="AJ51" s="1380"/>
      <c r="AK51" s="1380"/>
      <c r="AM51" s="845"/>
      <c r="AN51" s="845" t="str">
        <f>IF(T51="","",T51)</f>
        <v>Добавить централизованную систему для дифференциации</v>
      </c>
      <c r="AO51" s="845"/>
      <c r="AP51" s="845"/>
      <c r="AQ51" s="574">
        <v>0</v>
      </c>
    </row>
    <row s="2851" customFormat="1" customHeight="1" ht="0">
      <c r="A52" s="1399" t="s">
        <v>403</v>
      </c>
      <c r="B52" s="1399"/>
      <c r="C52" s="1399"/>
      <c r="D52" s="1399"/>
      <c r="E52" s="2314"/>
      <c r="F52" s="1399"/>
      <c r="G52" s="1399"/>
      <c r="H52" s="1399"/>
      <c r="I52" s="1399"/>
      <c r="J52" s="1399"/>
      <c r="K52" s="1399"/>
      <c r="L52" s="1402"/>
      <c r="M52" s="1377"/>
      <c r="N52" s="1377"/>
      <c r="O52" s="574"/>
      <c r="P52" s="436"/>
      <c r="Q52" s="1400"/>
      <c r="R52" s="436"/>
      <c r="S52" s="1378"/>
      <c r="T52" s="1381" t="s">
        <v>359</v>
      </c>
      <c r="U52" s="1380"/>
      <c r="V52" s="1380"/>
      <c r="W52" s="1380"/>
      <c r="X52" s="1380"/>
      <c r="Y52" s="1380"/>
      <c r="Z52" s="1380"/>
      <c r="AA52" s="1380"/>
      <c r="AB52" s="1380"/>
      <c r="AC52" s="1380"/>
      <c r="AD52" s="1380"/>
      <c r="AE52" s="1380"/>
      <c r="AF52" s="1380"/>
      <c r="AG52" s="1380"/>
      <c r="AH52" s="1380"/>
      <c r="AI52" s="1380"/>
      <c r="AJ52" s="1380"/>
      <c r="AK52" s="1380"/>
      <c r="AM52" s="556"/>
      <c r="AN52" s="556" t="str">
        <f>IF(T52="","",T52)</f>
        <v>Добавить территорию для дифференциации</v>
      </c>
      <c r="AO52" s="556"/>
      <c r="AP52" s="556"/>
      <c r="AQ52" s="567">
        <v>0</v>
      </c>
    </row>
    <row s="2851" customFormat="1" customHeight="1" ht="0">
      <c r="A53" s="1370"/>
      <c r="B53" s="1370"/>
      <c r="C53" s="1370"/>
      <c r="D53" s="1370"/>
      <c r="E53" s="1399"/>
      <c r="F53" s="1370"/>
      <c r="G53" s="1370"/>
      <c r="H53" s="1370"/>
      <c r="I53" s="1370"/>
      <c r="J53" s="1370"/>
      <c r="K53" s="1370"/>
      <c r="L53" s="1550"/>
      <c r="M53" s="1377"/>
      <c r="N53" s="1377"/>
      <c r="P53" s="1372"/>
      <c r="Q53" s="1373"/>
      <c r="R53" s="1372"/>
      <c r="S53" s="1378"/>
      <c r="T53" s="1381" t="s">
        <v>360</v>
      </c>
      <c r="U53" s="1380"/>
      <c r="V53" s="1380"/>
      <c r="W53" s="1380"/>
      <c r="X53" s="1380"/>
      <c r="Y53" s="1380"/>
      <c r="Z53" s="1380"/>
      <c r="AA53" s="1380"/>
      <c r="AB53" s="1380"/>
      <c r="AC53" s="1380"/>
      <c r="AD53" s="1380"/>
      <c r="AE53" s="1380"/>
      <c r="AF53" s="1380"/>
      <c r="AG53" s="1380"/>
      <c r="AH53" s="1380"/>
      <c r="AI53" s="1380"/>
      <c r="AJ53" s="1380"/>
      <c r="AK53" s="1380"/>
      <c r="AM53" s="845"/>
      <c r="AN53" s="845" t="str">
        <f>IF(T53="","",T53)</f>
        <v>Добавить наименование тарифа</v>
      </c>
      <c r="AO53" s="845"/>
      <c r="AP53" s="845"/>
      <c r="AQ53" s="574">
        <v>0</v>
      </c>
    </row>
    <row customHeight="1" ht="11.549999999999999">
      <c r="M54" s="1216"/>
      <c r="N54" s="1216"/>
      <c r="O54" s="593"/>
      <c r="P54" s="1211"/>
      <c r="Q54" s="1211"/>
      <c r="R54" s="1211"/>
      <c r="S54" s="1211"/>
      <c r="AL54" s="1211"/>
      <c r="AM54" s="1211"/>
      <c r="AN54" s="1211"/>
      <c r="AO54" s="1211"/>
      <c r="AP54" s="1211"/>
      <c r="AQ54" s="1211">
        <v>11</v>
      </c>
    </row>
    <row customHeight="1" ht="14.699999999999998">
      <c r="O55" s="593"/>
      <c r="S55" s="1309"/>
      <c r="T55" s="2341"/>
      <c r="U55" s="2341"/>
      <c r="V55" s="2341"/>
      <c r="W55" s="2341"/>
      <c r="X55" s="2341"/>
      <c r="Y55" s="2341"/>
      <c r="Z55" s="2341"/>
      <c r="AA55" s="2341"/>
      <c r="AB55" s="2341"/>
      <c r="AC55" s="2341"/>
      <c r="AD55" s="2341"/>
      <c r="AE55" s="2341"/>
      <c r="AF55" s="2341"/>
      <c r="AG55" s="2341"/>
      <c r="AH55" s="2341"/>
      <c r="AI55" s="2341"/>
      <c r="AJ55" s="2341"/>
      <c r="AK55" s="2341"/>
      <c r="AQ55" s="1211">
        <v>14</v>
      </c>
    </row>
    <row customHeight="1" ht="14.699999999999998">
      <c r="O56" s="593"/>
      <c r="AQ56" s="1211">
        <v>14</v>
      </c>
    </row>
    <row customHeight="1" ht="14.699999999999998">
      <c r="O57" s="593"/>
      <c r="S57" s="1309"/>
      <c r="T57" s="2341"/>
      <c r="U57" s="2341"/>
      <c r="V57" s="2341"/>
      <c r="W57" s="2341"/>
      <c r="X57" s="2341"/>
      <c r="Y57" s="2341"/>
      <c r="Z57" s="2341"/>
      <c r="AA57" s="2341"/>
      <c r="AB57" s="2341"/>
      <c r="AC57" s="2341"/>
      <c r="AD57" s="2341"/>
      <c r="AE57" s="2341"/>
      <c r="AF57" s="2341"/>
      <c r="AG57" s="2341"/>
      <c r="AH57" s="2341"/>
      <c r="AI57" s="2341"/>
      <c r="AJ57" s="2341"/>
      <c r="AK57" s="2341"/>
      <c r="AQ57" s="1211">
        <v>14</v>
      </c>
    </row>
    <row customHeight="1" ht="22.5" hidden="1">
      <c r="A58" s="1216" t="s">
        <v>86</v>
      </c>
      <c r="B58" s="1216">
        <v>0</v>
      </c>
      <c r="C58" s="1216">
        <v>0</v>
      </c>
      <c r="D58" s="1216">
        <v>0</v>
      </c>
      <c r="E58" s="1216">
        <v>0</v>
      </c>
      <c r="F58" s="1216">
        <v>0</v>
      </c>
      <c r="G58" s="1216">
        <v>0</v>
      </c>
      <c r="H58" s="1216">
        <v>0</v>
      </c>
      <c r="I58" s="1216">
        <v>0</v>
      </c>
      <c r="J58" s="1216">
        <v>0</v>
      </c>
      <c r="K58" s="1216">
        <v>0</v>
      </c>
      <c r="L58" s="1534">
        <v>0</v>
      </c>
      <c r="M58" s="1418">
        <v>0</v>
      </c>
      <c r="N58" s="1418">
        <v>0</v>
      </c>
      <c r="O58" s="1418">
        <v>0</v>
      </c>
      <c r="P58" s="1529">
        <v>3</v>
      </c>
      <c r="Q58" s="400">
        <v>3</v>
      </c>
      <c r="R58" s="400">
        <v>3</v>
      </c>
      <c r="S58" s="637">
        <v>12</v>
      </c>
      <c r="T58" s="1211">
        <v>35</v>
      </c>
      <c r="U58" s="1211">
        <v>0</v>
      </c>
      <c r="V58" s="1211">
        <v>0</v>
      </c>
      <c r="W58" s="1211">
        <v>0</v>
      </c>
      <c r="X58" s="1211">
        <v>0</v>
      </c>
      <c r="Y58" s="1211">
        <v>0</v>
      </c>
      <c r="Z58" s="1211">
        <v>0</v>
      </c>
      <c r="AA58" s="1211">
        <v>0</v>
      </c>
      <c r="AB58" s="1211">
        <v>0</v>
      </c>
      <c r="AC58" s="1211">
        <v>24</v>
      </c>
      <c r="AD58" s="1211">
        <v>24</v>
      </c>
      <c r="AE58" s="1211">
        <v>24</v>
      </c>
      <c r="AF58" s="1211">
        <v>11</v>
      </c>
      <c r="AG58" s="1211">
        <v>3</v>
      </c>
      <c r="AH58" s="1211">
        <v>11</v>
      </c>
      <c r="AI58" s="1211">
        <v>0</v>
      </c>
      <c r="AJ58" s="1211">
        <v>4</v>
      </c>
      <c r="AK58" s="1211">
        <v>115</v>
      </c>
      <c r="AL58" s="567">
        <v>10</v>
      </c>
      <c r="AM58" s="567">
        <v>10</v>
      </c>
      <c r="AN58" s="567">
        <v>10</v>
      </c>
      <c r="AO58" s="567">
        <v>10</v>
      </c>
      <c r="AP58" s="567">
        <v>10</v>
      </c>
      <c r="AQ58" s="1211">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E8F9D7-78DE-5275-DD17-CD26DD4CFA5A}"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850" width="11.57421875" hidden="1" customWidth="1"/>
    <col min="2" max="2" style="2850" width="11.00390625" hidden="1" customWidth="1"/>
    <col min="3" max="3" style="2850" width="10.57421875" hidden="1"/>
    <col min="4" max="4" style="2850" width="12.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2792" width="3.7109375" hidden="1" customWidth="1"/>
    <col min="17" max="17" style="3602" width="3.7109375" hidden="1" customWidth="1"/>
    <col min="18" max="18" style="3677" width="3.00390625" customWidth="1"/>
    <col min="19" max="19" style="3681" width="12.00390625" customWidth="1"/>
    <col min="20" max="20" style="2774" width="31.00390625" customWidth="1"/>
    <col min="21" max="21" style="2774" width="0.140625" customWidth="1"/>
    <col min="22" max="25" style="2774" width="21.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3.7109375" customWidth="1"/>
    <col min="31" max="32" style="2774" width="3.00390625" customWidth="1"/>
    <col min="33" max="33" style="2774" width="24.00390625" customWidth="1"/>
    <col min="34" max="34" style="2774" width="3.7109375" customWidth="1"/>
    <col min="35" max="36" style="2774" width="3.00390625" customWidth="1"/>
    <col min="37" max="37" style="2774" width="24.00390625" customWidth="1"/>
    <col min="38" max="38" style="2774" width="3.7109375" customWidth="1"/>
    <col min="39" max="40" style="2774" width="3.00390625" customWidth="1"/>
    <col min="41" max="41" style="2774" width="18.00390625" customWidth="1"/>
    <col min="42" max="42" style="2774" width="3.7109375" customWidth="1"/>
    <col min="43" max="44" style="2774" width="3.00390625" customWidth="1"/>
    <col min="45" max="45" style="2774" width="18.00390625" customWidth="1"/>
    <col min="46" max="49" style="2774" width="21.00390625" customWidth="1"/>
    <col min="50" max="50" style="2774" width="11.00390625" customWidth="1"/>
    <col min="51" max="51" style="2774" width="3.7109375" customWidth="1"/>
    <col min="52" max="52" style="2774" width="11.00390625" customWidth="1"/>
    <col min="53" max="53" style="2774" width="8.57421875" hidden="1" customWidth="1"/>
    <col min="54" max="54" style="2774" width="4.00390625" customWidth="1"/>
    <col min="55" max="55" style="2774" width="115.00390625" customWidth="1"/>
    <col min="56" max="60" style="2851" width="10.00390625" customWidth="1"/>
    <col min="61" max="61" style="2774" width="10.57421875" hidden="1"/>
  </cols>
  <sheetData>
    <row customHeight="1" ht="22.5" hidden="1">
      <c r="W1" s="383"/>
      <c r="Y1" s="383"/>
      <c r="Z1" s="383"/>
      <c r="AW1" s="383"/>
      <c r="AX1" s="383"/>
      <c r="BI1" s="1211" t="s">
        <v>14</v>
      </c>
    </row>
    <row customHeight="1" ht="21" hidden="1">
      <c r="A2" s="1419"/>
      <c r="B2" s="1419"/>
      <c r="C2" s="1419"/>
      <c r="D2" s="1419"/>
      <c r="E2" s="2314">
        <v>1</v>
      </c>
      <c r="F2" s="1419"/>
      <c r="G2" s="1419"/>
      <c r="H2" s="1419"/>
      <c r="I2" s="1419"/>
      <c r="J2" s="1419"/>
      <c r="K2" s="1419"/>
      <c r="L2" s="1420"/>
      <c r="M2" s="1421"/>
      <c r="N2" s="1421"/>
      <c r="O2" s="1421"/>
      <c r="P2" s="1465"/>
      <c r="Q2" s="929"/>
      <c r="R2" s="411"/>
      <c r="S2" s="1549">
        <f>INDEX(PT_DIFFERENTIATION_NUM_NTAR,MATCH(A2,PT_DIFFERENTIATION_NTAR_ID,0))</f>
      </c>
      <c r="T2" s="354" t="s">
        <v>202</v>
      </c>
      <c r="U2" s="356"/>
      <c r="V2" s="2299"/>
      <c r="W2" s="2299"/>
      <c r="X2" s="2299"/>
      <c r="Y2" s="2299"/>
      <c r="Z2" s="2299"/>
      <c r="AA2" s="2299"/>
      <c r="AB2" s="2299"/>
      <c r="AC2" s="2300"/>
      <c r="AD2" s="2298">
        <f>INDEX(PT_DIFFERENTIATION_NTAR,MATCH(A2,PT_DIFFERENTIATION_NTAR_ID,0))</f>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56"/>
      <c r="BF2" s="556" t="str">
        <f>IF(T2="","",T2)</f>
        <v>Наименование тарифа</v>
      </c>
      <c r="BG2" s="556"/>
      <c r="BH2" s="556"/>
      <c r="BI2" s="1211">
        <v>0</v>
      </c>
    </row>
    <row customHeight="1" ht="21" hidden="1">
      <c r="A3" s="1419"/>
      <c r="B3" s="1419"/>
      <c r="C3" s="1419"/>
      <c r="D3" s="1419"/>
      <c r="E3" s="2315"/>
      <c r="F3" s="2314">
        <v>1</v>
      </c>
      <c r="G3" s="1419"/>
      <c r="H3" s="1419"/>
      <c r="I3" s="1419"/>
      <c r="J3" s="1419"/>
      <c r="K3" s="1419"/>
      <c r="L3" s="1420"/>
      <c r="M3" s="1421"/>
      <c r="N3" s="1421"/>
      <c r="O3" s="1421"/>
      <c r="P3" s="1466"/>
      <c r="Q3" s="1467"/>
      <c r="R3" s="409"/>
      <c r="S3" s="1549">
        <f>INDEX(PT_DIFFERENTIATION_NUM_TER,MATCH(B3,PT_DIFFERENTIATION_TER_ID,0))</f>
      </c>
      <c r="T3" s="364" t="s">
        <v>529</v>
      </c>
      <c r="U3" s="356"/>
      <c r="V3" s="2299"/>
      <c r="W3" s="2299"/>
      <c r="X3" s="2299"/>
      <c r="Y3" s="2299"/>
      <c r="Z3" s="2299"/>
      <c r="AA3" s="2299"/>
      <c r="AB3" s="2299"/>
      <c r="AC3" s="2300"/>
      <c r="AD3" s="2298">
        <f>INDEX(PT_DIFFERENTIATION_TER,MATCH(B3,PT_DIFFERENTIATION_TER_ID,0))</f>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314" t="s">
        <v>530</v>
      </c>
      <c r="BE3" s="556"/>
      <c r="BF3" s="556" t="str">
        <f>IF(T3="","",T3)</f>
        <v>Территория действия тарифа</v>
      </c>
      <c r="BG3" s="556"/>
      <c r="BH3" s="556"/>
      <c r="BI3" s="1211">
        <v>0</v>
      </c>
    </row>
    <row customHeight="1" ht="33.75" hidden="1">
      <c r="A4" s="1419"/>
      <c r="B4" s="1419"/>
      <c r="C4" s="1419"/>
      <c r="D4" s="1419"/>
      <c r="E4" s="2315"/>
      <c r="F4" s="2315"/>
      <c r="G4" s="2314">
        <v>1</v>
      </c>
      <c r="H4" s="1419"/>
      <c r="I4" s="1419"/>
      <c r="J4" s="1419"/>
      <c r="K4" s="1419"/>
      <c r="L4" s="1420"/>
      <c r="M4" s="1421"/>
      <c r="N4" s="1421"/>
      <c r="O4" s="1421"/>
      <c r="P4" s="1468"/>
      <c r="Q4" s="1467"/>
      <c r="R4" s="409"/>
      <c r="S4" s="1549">
        <f>INDEX(PT_DIFFERENTIATION_NUM_CS,MATCH(C4,PT_DIFFERENTIATION_CS_ID,0))</f>
      </c>
      <c r="T4" s="365" t="s">
        <v>649</v>
      </c>
      <c r="U4" s="356"/>
      <c r="V4" s="2299"/>
      <c r="W4" s="2299"/>
      <c r="X4" s="2299"/>
      <c r="Y4" s="2299"/>
      <c r="Z4" s="2299"/>
      <c r="AA4" s="2299"/>
      <c r="AB4" s="2299"/>
      <c r="AC4" s="2300"/>
      <c r="AD4" s="2298">
        <f>INDEX(PT_DIFFERENTIATION_CS,MATCH(C4,PT_DIFFERENTIATION_CS_ID,0))</f>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314" t="s">
        <v>650</v>
      </c>
      <c r="BE4" s="556"/>
      <c r="BF4" s="556" t="str">
        <f>IF(T4="","",T4)</f>
        <v>Наименование централизованной системы водоотведения</v>
      </c>
      <c r="BG4" s="556"/>
      <c r="BH4" s="556"/>
      <c r="BI4" s="1211">
        <v>0</v>
      </c>
    </row>
    <row s="2851" customFormat="1" customHeight="1" ht="14.25" hidden="1">
      <c r="A5" s="1399"/>
      <c r="B5" s="1399"/>
      <c r="C5" s="1399"/>
      <c r="D5" s="1399"/>
      <c r="E5" s="2315"/>
      <c r="F5" s="2315"/>
      <c r="G5" s="2315"/>
      <c r="H5" s="2314">
        <v>1</v>
      </c>
      <c r="I5" s="1399"/>
      <c r="J5" s="1399"/>
      <c r="K5" s="1399"/>
      <c r="L5" s="1402"/>
      <c r="M5" s="1371"/>
      <c r="N5" s="1371"/>
      <c r="O5" s="1371"/>
      <c r="P5" s="1553"/>
      <c r="Q5" s="1554"/>
      <c r="R5" s="413"/>
      <c r="S5" s="1098"/>
      <c r="T5" s="1555"/>
      <c r="U5" s="1440"/>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441" t="s">
        <v>534</v>
      </c>
      <c r="BE5" s="556"/>
      <c r="BF5" s="556" t="str">
        <f>IF(T5="","",T5)</f>
        <v/>
      </c>
      <c r="BG5" s="556"/>
      <c r="BH5" s="556"/>
      <c r="BI5" s="567">
        <v>0</v>
      </c>
    </row>
    <row s="2851" customFormat="1" customHeight="1" ht="14.25" hidden="1">
      <c r="A6" s="1399"/>
      <c r="B6" s="1399"/>
      <c r="C6" s="1399"/>
      <c r="D6" s="1399"/>
      <c r="E6" s="2315"/>
      <c r="F6" s="2315"/>
      <c r="G6" s="2315"/>
      <c r="H6" s="2315"/>
      <c r="I6" s="2312" t="str">
        <f>S5&amp;".1"</f>
        <v>.1</v>
      </c>
      <c r="J6" s="1399"/>
      <c r="K6" s="1399"/>
      <c r="L6" s="1402" t="s">
        <v>535</v>
      </c>
      <c r="M6" s="566"/>
      <c r="N6" s="566"/>
      <c r="O6" s="566"/>
      <c r="P6" s="2313">
        <v>1</v>
      </c>
      <c r="Q6" s="1537"/>
      <c r="R6" s="412"/>
      <c r="S6" s="1098"/>
      <c r="T6" s="1439"/>
      <c r="U6" s="1440"/>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441"/>
      <c r="BE6" s="556"/>
      <c r="BF6" s="556" t="str">
        <f>IF(T6="","",T6)</f>
        <v/>
      </c>
      <c r="BG6" s="556"/>
      <c r="BH6" s="556"/>
      <c r="BI6" s="567">
        <v>0</v>
      </c>
    </row>
    <row s="2851" customFormat="1" customHeight="1" ht="14.25" hidden="1">
      <c r="A7" s="1399"/>
      <c r="B7" s="1399"/>
      <c r="C7" s="1399"/>
      <c r="D7" s="1399"/>
      <c r="E7" s="2315"/>
      <c r="F7" s="2315"/>
      <c r="G7" s="2315"/>
      <c r="H7" s="2315"/>
      <c r="I7" s="2342"/>
      <c r="J7" s="2312" t="str">
        <f>S5&amp;".1"</f>
        <v>.1</v>
      </c>
      <c r="K7" s="1399"/>
      <c r="L7" s="1402"/>
      <c r="M7" s="566"/>
      <c r="N7" s="566"/>
      <c r="O7" s="566"/>
      <c r="P7" s="2313"/>
      <c r="Q7" s="2313">
        <v>1</v>
      </c>
      <c r="R7" s="413"/>
      <c r="S7" s="1098"/>
      <c r="T7" s="1455"/>
      <c r="U7" s="1440"/>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441"/>
      <c r="BE7" s="556"/>
      <c r="BF7" s="556" t="str">
        <f>IF(T7="","",T7)</f>
        <v/>
      </c>
      <c r="BG7" s="556"/>
      <c r="BH7" s="556"/>
      <c r="BI7" s="567">
        <v>0</v>
      </c>
    </row>
    <row customHeight="1" ht="11.25" hidden="1">
      <c r="A8" s="1419"/>
      <c r="B8" s="1419"/>
      <c r="C8" s="1419"/>
      <c r="D8" s="1419"/>
      <c r="E8" s="2315"/>
      <c r="F8" s="2315"/>
      <c r="G8" s="2315"/>
      <c r="H8" s="2315"/>
      <c r="I8" s="2342"/>
      <c r="J8" s="2342"/>
      <c r="K8" s="2312">
        <f>S4&amp;".1"</f>
      </c>
      <c r="L8" s="1420"/>
      <c r="P8" s="2313"/>
      <c r="Q8" s="2313"/>
      <c r="R8" s="2403">
        <v>1</v>
      </c>
      <c r="S8" s="2397">
        <f>$K8</f>
      </c>
      <c r="T8" s="2416"/>
      <c r="U8" s="356"/>
      <c r="V8" s="807"/>
      <c r="W8" s="1313"/>
      <c r="X8" s="807"/>
      <c r="Y8" s="1313"/>
      <c r="Z8" s="1790"/>
      <c r="AA8" s="1525" t="s">
        <v>65</v>
      </c>
      <c r="AB8" s="1790"/>
      <c r="AC8" s="1525" t="s">
        <v>65</v>
      </c>
      <c r="AD8" s="2241" t="s">
        <v>65</v>
      </c>
      <c r="AE8" s="2382"/>
      <c r="AF8" s="2261">
        <v>1</v>
      </c>
      <c r="AG8" s="2419"/>
      <c r="AH8" s="2163" t="s">
        <v>65</v>
      </c>
      <c r="AI8" s="2382"/>
      <c r="AJ8" s="2261">
        <v>1</v>
      </c>
      <c r="AK8" s="2383" t="s">
        <v>28</v>
      </c>
      <c r="AL8" s="2163" t="s">
        <v>65</v>
      </c>
      <c r="AM8" s="2248"/>
      <c r="AN8" s="2261">
        <v>1</v>
      </c>
      <c r="AO8" s="2413"/>
      <c r="AP8" s="2414" t="s">
        <v>65</v>
      </c>
      <c r="AQ8" s="367"/>
      <c r="AR8" s="1542">
        <v>1</v>
      </c>
      <c r="AS8" s="1548" t="s">
        <v>28</v>
      </c>
      <c r="AT8" s="807"/>
      <c r="AU8" s="1313"/>
      <c r="AV8" s="807"/>
      <c r="AW8" s="1313"/>
      <c r="AX8" s="1790"/>
      <c r="AY8" s="1525" t="s">
        <v>65</v>
      </c>
      <c r="AZ8" s="1790"/>
      <c r="BA8" s="1525" t="s">
        <v>65</v>
      </c>
      <c r="BB8" s="1404"/>
      <c r="BC8" s="2309" t="s">
        <v>634</v>
      </c>
      <c r="BE8" s="556"/>
      <c r="BF8" s="556" t="str">
        <f>IF(T8="","",T8)</f>
        <v/>
      </c>
      <c r="BG8" s="556"/>
      <c r="BH8" s="556"/>
      <c r="BI8" s="1211">
        <v>0</v>
      </c>
    </row>
    <row customHeight="1" ht="11.25" hidden="1">
      <c r="A9" s="1419"/>
      <c r="B9" s="1419"/>
      <c r="C9" s="1419"/>
      <c r="D9" s="1419"/>
      <c r="E9" s="2315"/>
      <c r="F9" s="2315"/>
      <c r="G9" s="2315"/>
      <c r="H9" s="2315"/>
      <c r="I9" s="2342"/>
      <c r="J9" s="2342"/>
      <c r="K9" s="2312"/>
      <c r="L9" s="1420"/>
      <c r="P9" s="2313"/>
      <c r="Q9" s="2313"/>
      <c r="R9" s="2403"/>
      <c r="S9" s="2398"/>
      <c r="T9" s="2417"/>
      <c r="U9" s="356"/>
      <c r="V9" s="1449"/>
      <c r="W9" s="1552"/>
      <c r="X9" s="1449"/>
      <c r="Y9" s="1552"/>
      <c r="Z9" s="1449"/>
      <c r="AA9" s="1449"/>
      <c r="AB9" s="1449"/>
      <c r="AC9" s="1449"/>
      <c r="AD9" s="2242"/>
      <c r="AE9" s="2382"/>
      <c r="AF9" s="2261"/>
      <c r="AG9" s="2419"/>
      <c r="AH9" s="2163"/>
      <c r="AI9" s="2382"/>
      <c r="AJ9" s="2261"/>
      <c r="AK9" s="2383"/>
      <c r="AL9" s="2163"/>
      <c r="AM9" s="2256"/>
      <c r="AN9" s="2261"/>
      <c r="AO9" s="2413"/>
      <c r="AP9" s="2415"/>
      <c r="AQ9" s="372"/>
      <c r="AR9" s="472"/>
      <c r="AS9" s="472" t="s">
        <v>635</v>
      </c>
      <c r="AT9" s="1449"/>
      <c r="AU9" s="1552"/>
      <c r="AV9" s="1449"/>
      <c r="AW9" s="1552"/>
      <c r="AX9" s="1449"/>
      <c r="AY9" s="1449"/>
      <c r="AZ9" s="1449"/>
      <c r="BA9" s="1449"/>
      <c r="BB9" s="1453"/>
      <c r="BC9" s="2310"/>
      <c r="BE9" s="556"/>
      <c r="BF9" s="556"/>
      <c r="BG9" s="556"/>
      <c r="BH9" s="556"/>
      <c r="BI9" s="1211">
        <v>0</v>
      </c>
    </row>
    <row customHeight="1" ht="11.25" hidden="1">
      <c r="A10" s="1419"/>
      <c r="B10" s="1419"/>
      <c r="C10" s="1419"/>
      <c r="D10" s="1419"/>
      <c r="E10" s="2315"/>
      <c r="F10" s="2315"/>
      <c r="G10" s="2315"/>
      <c r="H10" s="2315"/>
      <c r="I10" s="2342"/>
      <c r="J10" s="2342"/>
      <c r="K10" s="2312"/>
      <c r="L10" s="1420"/>
      <c r="P10" s="2313"/>
      <c r="Q10" s="2313"/>
      <c r="R10" s="2403"/>
      <c r="S10" s="2398"/>
      <c r="T10" s="2417"/>
      <c r="U10" s="356"/>
      <c r="V10" s="1449"/>
      <c r="W10" s="1552"/>
      <c r="X10" s="1449"/>
      <c r="Y10" s="1552"/>
      <c r="Z10" s="1449"/>
      <c r="AA10" s="1449"/>
      <c r="AB10" s="1449"/>
      <c r="AC10" s="1449"/>
      <c r="AD10" s="2242"/>
      <c r="AE10" s="2382"/>
      <c r="AF10" s="2261"/>
      <c r="AG10" s="2419"/>
      <c r="AH10" s="2163"/>
      <c r="AI10" s="2382"/>
      <c r="AJ10" s="2261"/>
      <c r="AK10" s="2383"/>
      <c r="AL10" s="2163"/>
      <c r="AM10" s="372"/>
      <c r="AN10" s="1556"/>
      <c r="AO10" s="1556" t="s">
        <v>655</v>
      </c>
      <c r="AP10" s="472"/>
      <c r="AQ10" s="472"/>
      <c r="AR10" s="472"/>
      <c r="AS10" s="1449"/>
      <c r="AT10" s="1449"/>
      <c r="AU10" s="1552"/>
      <c r="AV10" s="1449"/>
      <c r="AW10" s="1552"/>
      <c r="AX10" s="1449"/>
      <c r="AY10" s="1449"/>
      <c r="AZ10" s="1449"/>
      <c r="BA10" s="1449"/>
      <c r="BB10" s="1453"/>
      <c r="BC10" s="2310"/>
      <c r="BE10" s="556"/>
      <c r="BF10" s="556"/>
      <c r="BG10" s="556"/>
      <c r="BH10" s="556"/>
      <c r="BI10" s="1211">
        <v>0</v>
      </c>
    </row>
    <row customHeight="1" ht="11.25" hidden="1">
      <c r="A11" s="1419"/>
      <c r="B11" s="1419"/>
      <c r="C11" s="1419"/>
      <c r="D11" s="1419"/>
      <c r="E11" s="2315"/>
      <c r="F11" s="2315"/>
      <c r="G11" s="2315"/>
      <c r="H11" s="2315"/>
      <c r="I11" s="2342"/>
      <c r="J11" s="2342"/>
      <c r="K11" s="2312"/>
      <c r="L11" s="1420"/>
      <c r="P11" s="2313"/>
      <c r="Q11" s="2313"/>
      <c r="R11" s="2403"/>
      <c r="S11" s="2398"/>
      <c r="T11" s="2417"/>
      <c r="U11" s="356"/>
      <c r="V11" s="1449"/>
      <c r="W11" s="1552"/>
      <c r="X11" s="1449"/>
      <c r="Y11" s="1552"/>
      <c r="Z11" s="1449"/>
      <c r="AA11" s="1449"/>
      <c r="AB11" s="1449"/>
      <c r="AC11" s="1449"/>
      <c r="AD11" s="2242"/>
      <c r="AE11" s="2382"/>
      <c r="AF11" s="2261"/>
      <c r="AG11" s="2419"/>
      <c r="AH11" s="2163"/>
      <c r="AI11" s="350"/>
      <c r="AJ11" s="471"/>
      <c r="AK11" s="369" t="s">
        <v>656</v>
      </c>
      <c r="AL11" s="1449"/>
      <c r="AM11" s="1449"/>
      <c r="AN11" s="1449"/>
      <c r="AO11" s="1449"/>
      <c r="AP11" s="1449"/>
      <c r="AQ11" s="1449"/>
      <c r="AR11" s="1449"/>
      <c r="AS11" s="1449"/>
      <c r="AT11" s="1449"/>
      <c r="AU11" s="1552"/>
      <c r="AV11" s="1449"/>
      <c r="AW11" s="1552"/>
      <c r="AX11" s="1449"/>
      <c r="AY11" s="1449"/>
      <c r="AZ11" s="1449"/>
      <c r="BA11" s="1449"/>
      <c r="BB11" s="1453"/>
      <c r="BC11" s="2310"/>
      <c r="BE11" s="556"/>
      <c r="BF11" s="556"/>
      <c r="BG11" s="556"/>
      <c r="BH11" s="556"/>
      <c r="BI11" s="1211">
        <v>0</v>
      </c>
    </row>
    <row customHeight="1" ht="11.25" hidden="1">
      <c r="A12" s="1419"/>
      <c r="B12" s="1419"/>
      <c r="C12" s="1419"/>
      <c r="D12" s="1419"/>
      <c r="E12" s="2315"/>
      <c r="F12" s="2315"/>
      <c r="G12" s="2315"/>
      <c r="H12" s="2315"/>
      <c r="I12" s="2342"/>
      <c r="J12" s="2342"/>
      <c r="K12" s="2312"/>
      <c r="L12" s="1420"/>
      <c r="P12" s="2313"/>
      <c r="Q12" s="2313"/>
      <c r="R12" s="2403"/>
      <c r="S12" s="2399"/>
      <c r="T12" s="2418"/>
      <c r="U12" s="356"/>
      <c r="V12" s="1449"/>
      <c r="W12" s="1450" t="str">
        <f>Z8&amp;"-"&amp;AB8</f>
        <v>-</v>
      </c>
      <c r="X12" s="1449"/>
      <c r="Y12" s="1450" t="str">
        <f>AB8&amp;"-"&amp;AD8</f>
        <v>-да</v>
      </c>
      <c r="Z12" s="1449"/>
      <c r="AA12" s="1449"/>
      <c r="AB12" s="1449"/>
      <c r="AC12" s="1449"/>
      <c r="AD12" s="2168"/>
      <c r="AE12" s="368"/>
      <c r="AF12" s="370"/>
      <c r="AG12" s="472" t="s">
        <v>638</v>
      </c>
      <c r="AH12" s="1449"/>
      <c r="AI12" s="1449"/>
      <c r="AJ12" s="1449"/>
      <c r="AK12" s="1449"/>
      <c r="AL12" s="1449"/>
      <c r="AM12" s="1449"/>
      <c r="AN12" s="1449"/>
      <c r="AO12" s="1449"/>
      <c r="AP12" s="1449"/>
      <c r="AQ12" s="1449"/>
      <c r="AR12" s="1449"/>
      <c r="AS12" s="1449"/>
      <c r="AT12" s="1449"/>
      <c r="AU12" s="1450" t="str">
        <f>AX8&amp;"-"&amp;AZ8</f>
        <v>-</v>
      </c>
      <c r="AV12" s="1449"/>
      <c r="AW12" s="1450" t="str">
        <f>AZ8&amp;"-"&amp;BB8</f>
        <v>-</v>
      </c>
      <c r="AX12" s="1449"/>
      <c r="AY12" s="1449"/>
      <c r="AZ12" s="1449"/>
      <c r="BA12" s="1449"/>
      <c r="BB12" s="1452" t="str">
        <f>BE8&amp;"-"&amp;BG8</f>
        <v>-</v>
      </c>
      <c r="BC12" s="2310"/>
      <c r="BE12" s="556"/>
      <c r="BF12" s="556" t="str">
        <f>IF(T12="","",T12)</f>
        <v/>
      </c>
      <c r="BG12" s="556"/>
      <c r="BH12" s="556"/>
      <c r="BI12" s="1211">
        <v>0</v>
      </c>
    </row>
    <row customHeight="1" ht="11.25" hidden="1">
      <c r="A13" s="1419"/>
      <c r="B13" s="1419"/>
      <c r="C13" s="1419"/>
      <c r="D13" s="1419"/>
      <c r="E13" s="2315"/>
      <c r="F13" s="2315"/>
      <c r="G13" s="2315"/>
      <c r="H13" s="2315"/>
      <c r="I13" s="2342"/>
      <c r="J13" s="2312"/>
      <c r="K13" s="1419"/>
      <c r="L13" s="1420"/>
      <c r="P13" s="2313"/>
      <c r="Q13" s="2313"/>
      <c r="R13" s="412"/>
      <c r="S13" s="1334"/>
      <c r="T13" s="343" t="s">
        <v>597</v>
      </c>
      <c r="U13" s="423"/>
      <c r="V13" s="423"/>
      <c r="W13" s="423"/>
      <c r="X13" s="423"/>
      <c r="Y13" s="423"/>
      <c r="Z13" s="423"/>
      <c r="AA13" s="423"/>
      <c r="AB13" s="423"/>
      <c r="AC13" s="423"/>
      <c r="AD13" s="1561"/>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380"/>
      <c r="BC13" s="2311"/>
      <c r="BE13" s="556"/>
      <c r="BF13" s="556" t="str">
        <f>IF(T13="","",T13)</f>
        <v>Добавить строку</v>
      </c>
      <c r="BG13" s="556"/>
      <c r="BH13" s="556"/>
      <c r="BI13" s="1211">
        <v>0</v>
      </c>
    </row>
    <row s="2851" customFormat="1" customHeight="1" ht="14.25" hidden="1">
      <c r="A14" s="1399"/>
      <c r="B14" s="1399"/>
      <c r="C14" s="1399"/>
      <c r="D14" s="1399"/>
      <c r="E14" s="2315"/>
      <c r="F14" s="2315"/>
      <c r="G14" s="2315"/>
      <c r="H14" s="2315"/>
      <c r="I14" s="2312"/>
      <c r="J14" s="1399"/>
      <c r="K14" s="1399"/>
      <c r="L14" s="1402"/>
      <c r="M14" s="566"/>
      <c r="N14" s="566"/>
      <c r="O14" s="566"/>
      <c r="P14" s="2313"/>
      <c r="Q14" s="1537"/>
      <c r="R14" s="412"/>
      <c r="S14" s="1442"/>
      <c r="T14" s="1443"/>
      <c r="U14" s="1444"/>
      <c r="V14" s="1444"/>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4"/>
      <c r="AR14" s="1444"/>
      <c r="AS14" s="1444"/>
      <c r="AT14" s="1444"/>
      <c r="AU14" s="1444"/>
      <c r="AV14" s="1444"/>
      <c r="AW14" s="1444"/>
      <c r="AX14" s="1444"/>
      <c r="AY14" s="1444"/>
      <c r="AZ14" s="1444"/>
      <c r="BA14" s="1444"/>
      <c r="BB14" s="1444"/>
      <c r="BC14" s="1445"/>
      <c r="BE14" s="556"/>
      <c r="BF14" s="556" t="str">
        <f>IF(T14="","",T14)</f>
        <v/>
      </c>
      <c r="BG14" s="556"/>
      <c r="BH14" s="556"/>
      <c r="BI14" s="567">
        <v>0</v>
      </c>
    </row>
    <row s="2851" customFormat="1" customHeight="1" ht="14.25" hidden="1">
      <c r="A15" s="1399"/>
      <c r="B15" s="1399"/>
      <c r="C15" s="1399"/>
      <c r="D15" s="1399"/>
      <c r="E15" s="2315"/>
      <c r="F15" s="2315"/>
      <c r="G15" s="2315"/>
      <c r="H15" s="2314"/>
      <c r="I15" s="1399"/>
      <c r="J15" s="1399"/>
      <c r="K15" s="1399"/>
      <c r="L15" s="1402"/>
      <c r="M15" s="1371"/>
      <c r="N15" s="1371"/>
      <c r="O15" s="574"/>
      <c r="P15" s="436"/>
      <c r="Q15" s="1400"/>
      <c r="R15" s="1457"/>
      <c r="S15" s="1442"/>
      <c r="T15" s="1443"/>
      <c r="U15" s="1444"/>
      <c r="V15" s="1444"/>
      <c r="W15" s="1444"/>
      <c r="X15" s="1444"/>
      <c r="Y15" s="1444"/>
      <c r="Z15" s="1444"/>
      <c r="AA15" s="1444"/>
      <c r="AB15" s="1444"/>
      <c r="AC15" s="1444"/>
      <c r="AD15" s="1444"/>
      <c r="AE15" s="1444"/>
      <c r="AF15" s="1444"/>
      <c r="AG15" s="1444"/>
      <c r="AH15" s="1444"/>
      <c r="AI15" s="1444"/>
      <c r="AJ15" s="1444"/>
      <c r="AK15" s="1444"/>
      <c r="AL15" s="1444"/>
      <c r="AM15" s="1444"/>
      <c r="AN15" s="1444"/>
      <c r="AO15" s="1444"/>
      <c r="AP15" s="1444"/>
      <c r="AQ15" s="1444"/>
      <c r="AR15" s="1444"/>
      <c r="AS15" s="1444"/>
      <c r="AT15" s="1444"/>
      <c r="AU15" s="1444"/>
      <c r="AV15" s="1444"/>
      <c r="AW15" s="1444"/>
      <c r="AX15" s="1444"/>
      <c r="AY15" s="1444"/>
      <c r="AZ15" s="1444"/>
      <c r="BA15" s="1444"/>
      <c r="BB15" s="1444"/>
      <c r="BC15" s="1445"/>
      <c r="BE15" s="556"/>
      <c r="BF15" s="556" t="str">
        <f>IF(T15="","",T15)</f>
        <v/>
      </c>
      <c r="BG15" s="556"/>
      <c r="BH15" s="556"/>
      <c r="BI15" s="567">
        <v>0</v>
      </c>
    </row>
    <row s="2851" customFormat="1" customHeight="1" ht="14.25" hidden="1">
      <c r="A16" s="1399"/>
      <c r="B16" s="1399"/>
      <c r="C16" s="1399"/>
      <c r="D16" s="1370"/>
      <c r="E16" s="2315"/>
      <c r="F16" s="2315"/>
      <c r="G16" s="2314"/>
      <c r="H16" s="1370"/>
      <c r="I16" s="1370"/>
      <c r="J16" s="1370"/>
      <c r="K16" s="1370"/>
      <c r="L16" s="1550"/>
      <c r="M16" s="1371"/>
      <c r="N16" s="1371"/>
      <c r="P16" s="1372"/>
      <c r="Q16" s="1373"/>
      <c r="R16" s="1372"/>
      <c r="S16" s="1378"/>
      <c r="T16" s="1381"/>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E16" s="845"/>
      <c r="BF16" s="845" t="str">
        <f>IF(T16="","",T16)</f>
        <v/>
      </c>
      <c r="BG16" s="845"/>
      <c r="BH16" s="845"/>
      <c r="BI16" s="574">
        <v>0</v>
      </c>
    </row>
    <row s="2851" customFormat="1" customHeight="1" ht="14.25" hidden="1">
      <c r="A17" s="1399"/>
      <c r="B17" s="1399"/>
      <c r="C17" s="1370"/>
      <c r="D17" s="1370"/>
      <c r="E17" s="2315"/>
      <c r="F17" s="2314"/>
      <c r="G17" s="1370"/>
      <c r="H17" s="1370"/>
      <c r="I17" s="1370"/>
      <c r="J17" s="1370"/>
      <c r="K17" s="1370"/>
      <c r="L17" s="1550"/>
      <c r="M17" s="1377"/>
      <c r="N17" s="1377"/>
      <c r="P17" s="1372"/>
      <c r="Q17" s="1373"/>
      <c r="R17" s="1372"/>
      <c r="S17" s="1378"/>
      <c r="T17" s="1381" t="s">
        <v>302</v>
      </c>
      <c r="U17" s="1380"/>
      <c r="V17" s="1380"/>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E17" s="845"/>
      <c r="BF17" s="845" t="str">
        <f>IF(T17="","",T17)</f>
        <v>Добавить централизованную систему для дифференциации</v>
      </c>
      <c r="BG17" s="845"/>
      <c r="BH17" s="845"/>
      <c r="BI17" s="574">
        <v>0</v>
      </c>
    </row>
    <row s="2851" customFormat="1" customHeight="1" ht="14.25" hidden="1">
      <c r="A18" s="1399"/>
      <c r="B18" s="1399"/>
      <c r="C18" s="1399"/>
      <c r="D18" s="1399"/>
      <c r="E18" s="2314"/>
      <c r="F18" s="1399"/>
      <c r="G18" s="1399"/>
      <c r="H18" s="1399"/>
      <c r="I18" s="1399"/>
      <c r="J18" s="1399"/>
      <c r="K18" s="1399"/>
      <c r="L18" s="1402"/>
      <c r="M18" s="1377"/>
      <c r="N18" s="1377"/>
      <c r="O18" s="574"/>
      <c r="P18" s="436"/>
      <c r="Q18" s="1400"/>
      <c r="R18" s="436"/>
      <c r="S18" s="1378"/>
      <c r="T18" s="1381" t="s">
        <v>359</v>
      </c>
      <c r="U18" s="1380"/>
      <c r="V18" s="1380"/>
      <c r="W18" s="1380"/>
      <c r="X18" s="1380"/>
      <c r="Y18" s="1380"/>
      <c r="Z18" s="1380"/>
      <c r="AA18" s="1380"/>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E18" s="556"/>
      <c r="BF18" s="556" t="str">
        <f>IF(T18="","",T18)</f>
        <v>Добавить территорию для дифференциации</v>
      </c>
      <c r="BG18" s="556"/>
      <c r="BH18" s="556"/>
      <c r="BI18" s="567">
        <v>0</v>
      </c>
    </row>
    <row customHeight="1" ht="14.25" hidden="1">
      <c r="AC19" s="383"/>
      <c r="BA19" s="383"/>
      <c r="BI19" s="1211">
        <v>0</v>
      </c>
    </row>
    <row customHeight="1" ht="14.25" hidden="1">
      <c r="AD20" s="1380" t="s">
        <v>19</v>
      </c>
      <c r="AE20" s="1557"/>
      <c r="AF20" s="604">
        <v>1</v>
      </c>
      <c r="AG20" s="1558"/>
      <c r="AH20" s="1380" t="s">
        <v>19</v>
      </c>
      <c r="AI20" s="1557"/>
      <c r="AJ20" s="604">
        <v>1</v>
      </c>
      <c r="AK20" s="1558"/>
      <c r="AL20" s="1380" t="s">
        <v>19</v>
      </c>
      <c r="AM20" s="1559"/>
      <c r="AN20" s="604">
        <v>1</v>
      </c>
      <c r="AO20" s="1560"/>
      <c r="AP20" s="1380" t="s">
        <v>19</v>
      </c>
      <c r="AQ20" s="1559"/>
      <c r="AR20" s="604">
        <v>1</v>
      </c>
      <c r="AS20" s="1560"/>
      <c r="AT20" s="381"/>
      <c r="AU20" s="440"/>
      <c r="AV20" s="381"/>
      <c r="AW20" s="440"/>
      <c r="AX20" s="1792"/>
      <c r="AY20" s="1541" t="s">
        <v>65</v>
      </c>
      <c r="AZ20" s="1792"/>
      <c r="BA20" s="1541" t="s">
        <v>65</v>
      </c>
      <c r="BI20" s="1211">
        <v>0</v>
      </c>
    </row>
    <row customHeight="1" ht="14.25" hidden="1">
      <c r="BD21" s="552"/>
      <c r="BE21" s="552"/>
      <c r="BF21" s="552"/>
      <c r="BG21" s="552"/>
      <c r="BH21" s="552"/>
      <c r="BI21" s="1211">
        <v>0</v>
      </c>
    </row>
    <row customHeight="1" ht="14.25" hidden="1">
      <c r="O22" s="1423" t="s">
        <v>547</v>
      </c>
      <c r="Z22" s="1401"/>
      <c r="AB22" s="1401"/>
      <c r="AC22" s="383"/>
      <c r="AX22" s="1401"/>
      <c r="AZ22" s="1401"/>
      <c r="BA22" s="383"/>
      <c r="BD22" s="552"/>
      <c r="BE22" s="552"/>
      <c r="BF22" s="552"/>
      <c r="BG22" s="552"/>
      <c r="BH22" s="552"/>
      <c r="BI22" s="1211">
        <v>0</v>
      </c>
    </row>
    <row customHeight="1" ht="14.25" hidden="1">
      <c r="AC23" s="383"/>
      <c r="BA23" s="383"/>
      <c r="BD23" s="552"/>
      <c r="BE23" s="552"/>
      <c r="BF23" s="552"/>
      <c r="BG23" s="552"/>
      <c r="BH23" s="552"/>
      <c r="BI23" s="1211">
        <v>0</v>
      </c>
    </row>
    <row s="3830" customFormat="1" customHeight="1" ht="14.25" hidden="1">
      <c r="M24" s="1564"/>
      <c r="N24" s="1564"/>
      <c r="O24" s="1565" t="s">
        <v>548</v>
      </c>
      <c r="P24" s="1564"/>
      <c r="Q24" s="1566"/>
      <c r="R24" s="1566"/>
      <c r="AA24" s="1563" t="s">
        <v>550</v>
      </c>
      <c r="AC24" s="1563" t="s">
        <v>551</v>
      </c>
      <c r="AD24" s="1563" t="s">
        <v>598</v>
      </c>
      <c r="AH24" s="1563" t="s">
        <v>598</v>
      </c>
      <c r="AK24" s="1563" t="s">
        <v>639</v>
      </c>
      <c r="AL24" s="1563" t="s">
        <v>598</v>
      </c>
      <c r="AP24" s="1563" t="s">
        <v>598</v>
      </c>
      <c r="AY24" s="1563" t="s">
        <v>550</v>
      </c>
      <c r="BA24" s="1563" t="s">
        <v>551</v>
      </c>
      <c r="BD24" s="1567"/>
      <c r="BE24" s="1567"/>
      <c r="BF24" s="1567"/>
      <c r="BG24" s="1567"/>
      <c r="BH24" s="1567"/>
      <c r="BI24" s="1563">
        <v>0</v>
      </c>
    </row>
    <row customHeight="1" ht="14.25" hidden="1">
      <c r="O25" s="1420"/>
      <c r="BD25" s="552"/>
      <c r="BE25" s="552"/>
      <c r="BF25" s="552"/>
      <c r="BG25" s="552"/>
      <c r="BH25" s="552"/>
      <c r="BI25" s="1211">
        <v>0</v>
      </c>
    </row>
    <row customHeight="1" ht="14.25" hidden="1">
      <c r="O26" s="1420"/>
      <c r="BD26" s="552"/>
      <c r="BE26" s="552"/>
      <c r="BF26" s="552"/>
      <c r="BG26" s="552"/>
      <c r="BH26" s="552"/>
      <c r="BI26" s="1211">
        <v>0</v>
      </c>
    </row>
    <row customHeight="1" ht="14.699999999999998">
      <c r="Q27" s="347"/>
      <c r="R27" s="432"/>
      <c r="S27" s="1331"/>
      <c r="T27" s="419"/>
      <c r="U27" s="419"/>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I27" s="1211">
        <v>14</v>
      </c>
    </row>
    <row customHeight="1" ht="14.699999999999998">
      <c r="Q28" s="347"/>
      <c r="R28" s="432"/>
      <c r="S28" s="230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299"/>
      <c r="BI28" s="1211">
        <v>14</v>
      </c>
    </row>
    <row customHeight="1" ht="14.699999999999998">
      <c r="Q29" s="347"/>
      <c r="R29" s="432"/>
      <c r="S29" s="2305" t="str">
        <f>IF(org=0,"Не определено",org)</f>
        <v>МУП ЖКХ "Родник"</v>
      </c>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305"/>
      <c r="AT29" s="2305"/>
      <c r="AU29" s="2305"/>
      <c r="AV29" s="2305"/>
      <c r="AW29" s="2305"/>
      <c r="AX29" s="2305"/>
      <c r="AY29" s="2305"/>
      <c r="AZ29" s="2305"/>
      <c r="BA29" s="1299"/>
      <c r="BI29" s="1211">
        <v>14</v>
      </c>
    </row>
    <row customHeight="1" ht="14.25">
      <c r="Q30" s="347"/>
      <c r="R30" s="432"/>
      <c r="S30" s="1331"/>
      <c r="T30" s="419"/>
      <c r="U30" s="419"/>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565"/>
      <c r="BI30" s="1211">
        <v>0</v>
      </c>
    </row>
    <row s="2983" customFormat="1" customHeight="1" ht="25.5">
      <c r="A31" s="1424"/>
      <c r="B31" s="1424"/>
      <c r="C31" s="1424"/>
      <c r="D31" s="1424"/>
      <c r="E31" s="1424"/>
      <c r="F31" s="1424"/>
      <c r="G31" s="1424"/>
      <c r="H31" s="1424"/>
      <c r="I31" s="1424"/>
      <c r="J31" s="1424"/>
      <c r="K31" s="1424"/>
      <c r="L31" s="1425"/>
      <c r="M31" s="1424"/>
      <c r="N31" s="1424"/>
      <c r="O31" s="1424"/>
      <c r="P31" s="1424"/>
      <c r="Q31" s="1424"/>
      <c r="S31" s="2306" t="s">
        <v>42</v>
      </c>
      <c r="T31" s="2306"/>
      <c r="U31" s="1428"/>
      <c r="V31" s="2307" t="str">
        <f>IF(TITLE_NAME_OR_PR_CHANGE="",IF(TITLE_NAME_OR_PR="","",TITLE_NAME_OR_PR),TITLE_NAME_OR_PR_CHANGE)</f>
        <v>Министерство по тарифам и ценам Курской области</v>
      </c>
      <c r="W31" s="2307"/>
      <c r="X31" s="2307"/>
      <c r="Y31" s="2307"/>
      <c r="Z31" s="2307"/>
      <c r="AA31" s="2307"/>
      <c r="AB31" s="2307"/>
      <c r="AC31" s="382"/>
      <c r="AD31" s="2307" t="str">
        <f>IF(TITLE_NAME_OR_PR_CHANGE="",IF(TITLE_NAME_OR_PR="","",TITLE_NAME_OR_PR),TITLE_NAME_OR_PR_CHANGE)</f>
        <v>Министерство по тарифам и ценам Курской области</v>
      </c>
      <c r="AE31" s="2307"/>
      <c r="AF31" s="2307"/>
      <c r="AG31" s="2307"/>
      <c r="AH31" s="2307"/>
      <c r="AI31" s="2307"/>
      <c r="AJ31" s="2307"/>
      <c r="AK31" s="2307"/>
      <c r="AL31" s="2307"/>
      <c r="AM31" s="2307"/>
      <c r="AN31" s="2307"/>
      <c r="AO31" s="2307"/>
      <c r="AP31" s="2307"/>
      <c r="AQ31" s="2307"/>
      <c r="AR31" s="2307"/>
      <c r="AS31" s="2307"/>
      <c r="AT31" s="2307"/>
      <c r="AU31" s="2307"/>
      <c r="AV31" s="2307"/>
      <c r="AW31" s="2307"/>
      <c r="AX31" s="2307"/>
      <c r="AY31" s="2307"/>
      <c r="AZ31" s="2307"/>
      <c r="BA31" s="382"/>
      <c r="BB31" s="382"/>
      <c r="BC31" s="336"/>
      <c r="BD31" s="424"/>
      <c r="BE31" s="424"/>
      <c r="BF31" s="424"/>
      <c r="BG31" s="424"/>
      <c r="BH31" s="424"/>
      <c r="BI31" s="474">
        <v>0</v>
      </c>
    </row>
    <row s="2983" customFormat="1" customHeight="1" ht="18.75">
      <c r="A32" s="1424"/>
      <c r="B32" s="1424"/>
      <c r="C32" s="1424"/>
      <c r="D32" s="1424"/>
      <c r="E32" s="1424"/>
      <c r="F32" s="1424"/>
      <c r="G32" s="1424"/>
      <c r="H32" s="1424"/>
      <c r="I32" s="1424"/>
      <c r="J32" s="1424"/>
      <c r="K32" s="1424"/>
      <c r="L32" s="1425"/>
      <c r="M32" s="1424"/>
      <c r="N32" s="1424"/>
      <c r="O32" s="1424"/>
      <c r="P32" s="1424"/>
      <c r="Q32" s="1424"/>
      <c r="S32" s="2306" t="s">
        <v>553</v>
      </c>
      <c r="T32" s="2306"/>
      <c r="U32" s="1428"/>
      <c r="V32" s="2320" t="str">
        <f>IF(TITLE_DATE_PR_CHANGE="",IF(TITLE_DATE_PR="","",TITLE_DATE_PR),TITLE_DATE_PR_CHANGE)</f>
        <v>45645</v>
      </c>
      <c r="W32" s="2320"/>
      <c r="X32" s="2320"/>
      <c r="Y32" s="2320"/>
      <c r="Z32" s="2320"/>
      <c r="AA32" s="2320"/>
      <c r="AB32" s="2320"/>
      <c r="AC32" s="382"/>
      <c r="AD32" s="2320" t="str">
        <f>IF(TITLE_DATE_PR_CHANGE="",IF(TITLE_DATE_PR="","",TITLE_DATE_PR),TITLE_DATE_PR_CHANGE)</f>
        <v>45645</v>
      </c>
      <c r="AE32" s="2320"/>
      <c r="AF32" s="2320"/>
      <c r="AG32" s="2320"/>
      <c r="AH32" s="2320"/>
      <c r="AI32" s="2320"/>
      <c r="AJ32" s="2320"/>
      <c r="AK32" s="2320"/>
      <c r="AL32" s="2320"/>
      <c r="AM32" s="2320"/>
      <c r="AN32" s="2320"/>
      <c r="AO32" s="2320"/>
      <c r="AP32" s="2320"/>
      <c r="AQ32" s="2320"/>
      <c r="AR32" s="2320"/>
      <c r="AS32" s="2320"/>
      <c r="AT32" s="2320"/>
      <c r="AU32" s="2320"/>
      <c r="AV32" s="2320"/>
      <c r="AW32" s="2320"/>
      <c r="AX32" s="2320"/>
      <c r="AY32" s="2320"/>
      <c r="AZ32" s="2320"/>
      <c r="BA32" s="382"/>
      <c r="BB32" s="382"/>
      <c r="BC32" s="336"/>
      <c r="BD32" s="424"/>
      <c r="BE32" s="424"/>
      <c r="BF32" s="424"/>
      <c r="BG32" s="424"/>
      <c r="BH32" s="424"/>
      <c r="BI32" s="474">
        <v>0</v>
      </c>
    </row>
    <row s="2983" customFormat="1" customHeight="1" ht="18.75">
      <c r="A33" s="1424"/>
      <c r="B33" s="1424"/>
      <c r="C33" s="1424"/>
      <c r="D33" s="1424"/>
      <c r="E33" s="1424"/>
      <c r="F33" s="1424"/>
      <c r="G33" s="1424"/>
      <c r="H33" s="1424"/>
      <c r="I33" s="1424"/>
      <c r="J33" s="1424"/>
      <c r="K33" s="1424"/>
      <c r="L33" s="1425"/>
      <c r="M33" s="1424"/>
      <c r="N33" s="1424"/>
      <c r="O33" s="1424"/>
      <c r="P33" s="1424"/>
      <c r="Q33" s="1424"/>
      <c r="S33" s="2306" t="s">
        <v>554</v>
      </c>
      <c r="T33" s="2306"/>
      <c r="U33" s="1428"/>
      <c r="V33" s="2307" t="str">
        <f>IF(TITLE_NUMBER_PR_CHANGE="",IF(TITLE_NUMBER_PR="","",TITLE_NUMBER_PR),TITLE_NUMBER_PR_CHANGE)</f>
        <v>208-вод</v>
      </c>
      <c r="W33" s="2307"/>
      <c r="X33" s="2307"/>
      <c r="Y33" s="2307"/>
      <c r="Z33" s="2307"/>
      <c r="AA33" s="2307"/>
      <c r="AB33" s="2307"/>
      <c r="AC33" s="382"/>
      <c r="AD33" s="2307" t="str">
        <f>IF(TITLE_NUMBER_PR_CHANGE="",IF(TITLE_NUMBER_PR="","",TITLE_NUMBER_PR),TITLE_NUMBER_PR_CHANGE)</f>
        <v>208-вод</v>
      </c>
      <c r="AE33" s="2307"/>
      <c r="AF33" s="2307"/>
      <c r="AG33" s="2307"/>
      <c r="AH33" s="2307"/>
      <c r="AI33" s="2307"/>
      <c r="AJ33" s="2307"/>
      <c r="AK33" s="2307"/>
      <c r="AL33" s="2307"/>
      <c r="AM33" s="2307"/>
      <c r="AN33" s="2307"/>
      <c r="AO33" s="2307"/>
      <c r="AP33" s="2307"/>
      <c r="AQ33" s="2307"/>
      <c r="AR33" s="2307"/>
      <c r="AS33" s="2307"/>
      <c r="AT33" s="2307"/>
      <c r="AU33" s="2307"/>
      <c r="AV33" s="2307"/>
      <c r="AW33" s="2307"/>
      <c r="AX33" s="2307"/>
      <c r="AY33" s="2307"/>
      <c r="AZ33" s="2307"/>
      <c r="BA33" s="382"/>
      <c r="BB33" s="382"/>
      <c r="BC33" s="336"/>
      <c r="BD33" s="424"/>
      <c r="BE33" s="424"/>
      <c r="BF33" s="424"/>
      <c r="BG33" s="424"/>
      <c r="BH33" s="424"/>
      <c r="BI33" s="474">
        <v>0</v>
      </c>
    </row>
    <row s="2983" customFormat="1" customHeight="1" ht="18.75">
      <c r="A34" s="1424"/>
      <c r="B34" s="1424"/>
      <c r="C34" s="1424"/>
      <c r="D34" s="1424"/>
      <c r="E34" s="1424"/>
      <c r="F34" s="1424"/>
      <c r="G34" s="1424"/>
      <c r="H34" s="1424"/>
      <c r="I34" s="1424"/>
      <c r="J34" s="1424"/>
      <c r="K34" s="1424"/>
      <c r="L34" s="1425"/>
      <c r="M34" s="1424"/>
      <c r="N34" s="1424"/>
      <c r="O34" s="1424"/>
      <c r="P34" s="1424"/>
      <c r="Q34" s="1424"/>
      <c r="S34" s="2306" t="s">
        <v>44</v>
      </c>
      <c r="T34" s="2306"/>
      <c r="U34" s="1428"/>
      <c r="V34" s="2307" t="str">
        <f>IF(TITLE_IST_PUB_CHANGE="",IF(TITLE_IST_PUB="","",TITLE_IST_PUB),TITLE_IST_PUB_CHANGE)</f>
        <v>Газета "Курская правда" №155 от 26.12.2024 г.</v>
      </c>
      <c r="W34" s="2307"/>
      <c r="X34" s="2307"/>
      <c r="Y34" s="2307"/>
      <c r="Z34" s="2307"/>
      <c r="AA34" s="2307"/>
      <c r="AB34" s="2307"/>
      <c r="AC34" s="382"/>
      <c r="AD34" s="2307" t="str">
        <f>IF(TITLE_IST_PUB_CHANGE="",IF(TITLE_IST_PUB="","",TITLE_IST_PUB),TITLE_IST_PUB_CHANGE)</f>
        <v>Газета "Курская правда" №155 от 26.12.2024 г.</v>
      </c>
      <c r="AE34" s="2307"/>
      <c r="AF34" s="2307"/>
      <c r="AG34" s="2307"/>
      <c r="AH34" s="2307"/>
      <c r="AI34" s="2307"/>
      <c r="AJ34" s="2307"/>
      <c r="AK34" s="2307"/>
      <c r="AL34" s="2307"/>
      <c r="AM34" s="2307"/>
      <c r="AN34" s="2307"/>
      <c r="AO34" s="2307"/>
      <c r="AP34" s="2307"/>
      <c r="AQ34" s="2307"/>
      <c r="AR34" s="2307"/>
      <c r="AS34" s="2307"/>
      <c r="AT34" s="2307"/>
      <c r="AU34" s="2307"/>
      <c r="AV34" s="2307"/>
      <c r="AW34" s="2307"/>
      <c r="AX34" s="2307"/>
      <c r="AY34" s="2307"/>
      <c r="AZ34" s="2307"/>
      <c r="BA34" s="382"/>
      <c r="BB34" s="382"/>
      <c r="BC34" s="336"/>
      <c r="BD34" s="424"/>
      <c r="BE34" s="424"/>
      <c r="BF34" s="424"/>
      <c r="BG34" s="424"/>
      <c r="BH34" s="424"/>
      <c r="BI34" s="474">
        <v>0</v>
      </c>
    </row>
    <row customHeight="1" ht="14.25" hidden="1">
      <c r="Q35" s="347"/>
      <c r="R35" s="432"/>
      <c r="S35" s="1331"/>
      <c r="T35" s="419"/>
      <c r="U35" s="419"/>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565"/>
      <c r="BI35" s="1211">
        <v>0</v>
      </c>
    </row>
    <row s="2983" customFormat="1" customHeight="1" ht="18.75" hidden="1">
      <c r="A36" s="1424"/>
      <c r="B36" s="1424"/>
      <c r="C36" s="1424"/>
      <c r="D36" s="1424"/>
      <c r="E36" s="1424"/>
      <c r="F36" s="1424"/>
      <c r="G36" s="1424"/>
      <c r="H36" s="1424"/>
      <c r="I36" s="1424"/>
      <c r="J36" s="1424"/>
      <c r="K36" s="1424"/>
      <c r="L36" s="1425"/>
      <c r="M36" s="1424"/>
      <c r="N36" s="1424"/>
      <c r="O36" s="1424"/>
      <c r="P36" s="1424"/>
      <c r="Q36" s="1424"/>
      <c r="S36" s="2306" t="s">
        <v>553</v>
      </c>
      <c r="T36" s="2306"/>
      <c r="U36" s="1428"/>
      <c r="V36" s="2320" t="str">
        <f>IF(TITLE_DATE_PR_CHANGE="",IF(TITLE_DATE_PR="","",TITLE_DATE_PR),TITLE_DATE_PR_CHANGE)</f>
        <v>45645</v>
      </c>
      <c r="W36" s="2320"/>
      <c r="X36" s="2320"/>
      <c r="Y36" s="2320"/>
      <c r="Z36" s="2320"/>
      <c r="AA36" s="2320"/>
      <c r="AB36" s="2320"/>
      <c r="AC36" s="382"/>
      <c r="AD36" s="2320" t="str">
        <f>IF(TITLE_DATE_PR_CHANGE="",IF(TITLE_DATE_PR="","",TITLE_DATE_PR),TITLE_DATE_PR_CHANGE)</f>
        <v>45645</v>
      </c>
      <c r="AE36" s="2320"/>
      <c r="AF36" s="2320"/>
      <c r="AG36" s="2320"/>
      <c r="AH36" s="2320"/>
      <c r="AI36" s="2320"/>
      <c r="AJ36" s="2320"/>
      <c r="AK36" s="2320"/>
      <c r="AL36" s="2320"/>
      <c r="AM36" s="2320"/>
      <c r="AN36" s="2320"/>
      <c r="AO36" s="2320"/>
      <c r="AP36" s="2320"/>
      <c r="AQ36" s="2320"/>
      <c r="AR36" s="2320"/>
      <c r="AS36" s="2320"/>
      <c r="AT36" s="2320"/>
      <c r="AU36" s="2320"/>
      <c r="AV36" s="2320"/>
      <c r="AW36" s="2320"/>
      <c r="AX36" s="2320"/>
      <c r="AY36" s="2320"/>
      <c r="AZ36" s="2320"/>
      <c r="BA36" s="382"/>
      <c r="BB36" s="382"/>
      <c r="BC36" s="336"/>
      <c r="BD36" s="424"/>
      <c r="BE36" s="424"/>
      <c r="BF36" s="424"/>
      <c r="BG36" s="424"/>
      <c r="BH36" s="424"/>
      <c r="BI36" s="474">
        <v>0</v>
      </c>
    </row>
    <row s="2983" customFormat="1" customHeight="1" ht="18.75" hidden="1">
      <c r="A37" s="1424"/>
      <c r="B37" s="1424"/>
      <c r="C37" s="1424"/>
      <c r="D37" s="1424"/>
      <c r="E37" s="1424"/>
      <c r="F37" s="1424"/>
      <c r="G37" s="1424"/>
      <c r="H37" s="1424"/>
      <c r="I37" s="1424"/>
      <c r="J37" s="1424"/>
      <c r="K37" s="1424"/>
      <c r="L37" s="1425"/>
      <c r="M37" s="1424"/>
      <c r="N37" s="1424"/>
      <c r="O37" s="1424"/>
      <c r="P37" s="1424"/>
      <c r="Q37" s="1424"/>
      <c r="S37" s="2306" t="s">
        <v>554</v>
      </c>
      <c r="T37" s="2306"/>
      <c r="U37" s="1428"/>
      <c r="V37" s="2307" t="str">
        <f>IF(TITLE_NUMBER_PR_CHANGE="",IF(TITLE_NUMBER_PR="","",TITLE_NUMBER_PR),TITLE_NUMBER_PR_CHANGE)</f>
        <v>208-вод</v>
      </c>
      <c r="W37" s="2307"/>
      <c r="X37" s="2307"/>
      <c r="Y37" s="2307"/>
      <c r="Z37" s="2307"/>
      <c r="AA37" s="2307"/>
      <c r="AB37" s="2307"/>
      <c r="AC37" s="382"/>
      <c r="AD37" s="2307" t="str">
        <f>IF(TITLE_NUMBER_PR_CHANGE="",IF(TITLE_NUMBER_PR="","",TITLE_NUMBER_PR),TITLE_NUMBER_PR_CHANGE)</f>
        <v>208-вод</v>
      </c>
      <c r="AE37" s="2307"/>
      <c r="AF37" s="2307"/>
      <c r="AG37" s="2307"/>
      <c r="AH37" s="2307"/>
      <c r="AI37" s="2307"/>
      <c r="AJ37" s="2307"/>
      <c r="AK37" s="2307"/>
      <c r="AL37" s="2307"/>
      <c r="AM37" s="2307"/>
      <c r="AN37" s="2307"/>
      <c r="AO37" s="2307"/>
      <c r="AP37" s="2307"/>
      <c r="AQ37" s="2307"/>
      <c r="AR37" s="2307"/>
      <c r="AS37" s="2307"/>
      <c r="AT37" s="2307"/>
      <c r="AU37" s="2307"/>
      <c r="AV37" s="2307"/>
      <c r="AW37" s="2307"/>
      <c r="AX37" s="2307"/>
      <c r="AY37" s="2307"/>
      <c r="AZ37" s="2307"/>
      <c r="BA37" s="382"/>
      <c r="BB37" s="382"/>
      <c r="BC37" s="336"/>
      <c r="BD37" s="424"/>
      <c r="BE37" s="424"/>
      <c r="BF37" s="424"/>
      <c r="BG37" s="424"/>
      <c r="BH37" s="424"/>
      <c r="BI37" s="474">
        <v>0</v>
      </c>
    </row>
    <row s="2983" customFormat="1" customHeight="1" ht="0">
      <c r="A38" s="1424"/>
      <c r="B38" s="1424"/>
      <c r="C38" s="1424"/>
      <c r="D38" s="1424"/>
      <c r="E38" s="1424"/>
      <c r="F38" s="1424"/>
      <c r="G38" s="1424"/>
      <c r="H38" s="1424"/>
      <c r="I38" s="1424"/>
      <c r="J38" s="1424"/>
      <c r="K38" s="1424"/>
      <c r="L38" s="1425"/>
      <c r="M38" s="1424"/>
      <c r="N38" s="1424"/>
      <c r="O38" s="1424"/>
      <c r="P38" s="1424"/>
      <c r="Q38" s="1424"/>
      <c r="S38" s="379"/>
      <c r="T38" s="379"/>
      <c r="U38" s="1544"/>
      <c r="V38" s="382"/>
      <c r="W38" s="382"/>
      <c r="X38" s="382"/>
      <c r="Y38" s="382"/>
      <c r="Z38" s="382"/>
      <c r="AA38" s="382"/>
      <c r="AB38" s="382"/>
      <c r="AC38" s="334" t="s">
        <v>557</v>
      </c>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34" t="s">
        <v>557</v>
      </c>
      <c r="BD38" s="424"/>
      <c r="BE38" s="424"/>
      <c r="BF38" s="424"/>
      <c r="BG38" s="424"/>
      <c r="BH38" s="424"/>
      <c r="BI38" s="474">
        <v>0</v>
      </c>
    </row>
    <row customHeight="1" ht="14.699999999999998">
      <c r="Q39" s="347"/>
      <c r="R39" s="432"/>
      <c r="S39" s="1331"/>
      <c r="T39" s="419"/>
      <c r="U39" s="1300"/>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c r="AS39" s="2308"/>
      <c r="AT39" s="2308"/>
      <c r="AU39" s="2308"/>
      <c r="AV39" s="2308"/>
      <c r="AW39" s="2308"/>
      <c r="AX39" s="2308"/>
      <c r="AY39" s="2308"/>
      <c r="AZ39" s="2308"/>
      <c r="BA39" s="2308"/>
      <c r="BI39" s="1211">
        <v>14</v>
      </c>
    </row>
    <row customHeight="1" ht="14.699999999999998">
      <c r="Q40" s="347"/>
      <c r="R40" s="432"/>
      <c r="S40" s="2183" t="s">
        <v>432</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433</v>
      </c>
      <c r="BI40" s="1211">
        <v>14</v>
      </c>
    </row>
    <row customHeight="1" ht="14.699999999999998">
      <c r="Q41" s="347"/>
      <c r="R41" s="432"/>
      <c r="S41" s="2329" t="s">
        <v>92</v>
      </c>
      <c r="T41" s="2265" t="s">
        <v>640</v>
      </c>
      <c r="U41" s="357"/>
      <c r="V41" s="2330" t="s">
        <v>559</v>
      </c>
      <c r="W41" s="2331"/>
      <c r="X41" s="2331"/>
      <c r="Y41" s="2331"/>
      <c r="Z41" s="2331"/>
      <c r="AA41" s="2331"/>
      <c r="AB41" s="2332"/>
      <c r="AC41" s="2333" t="s">
        <v>560</v>
      </c>
      <c r="AD41" s="2384" t="s">
        <v>657</v>
      </c>
      <c r="AE41" s="2347"/>
      <c r="AF41" s="2347"/>
      <c r="AG41" s="2385"/>
      <c r="AH41" s="2384" t="s">
        <v>658</v>
      </c>
      <c r="AI41" s="2347"/>
      <c r="AJ41" s="2347"/>
      <c r="AK41" s="2385"/>
      <c r="AL41" s="2384" t="s">
        <v>659</v>
      </c>
      <c r="AM41" s="2347"/>
      <c r="AN41" s="2347"/>
      <c r="AO41" s="2385"/>
      <c r="AP41" s="2384" t="s">
        <v>644</v>
      </c>
      <c r="AQ41" s="2347"/>
      <c r="AR41" s="2347"/>
      <c r="AS41" s="2385"/>
      <c r="AT41" s="2330" t="s">
        <v>559</v>
      </c>
      <c r="AU41" s="2331"/>
      <c r="AV41" s="2331"/>
      <c r="AW41" s="2331"/>
      <c r="AX41" s="2331"/>
      <c r="AY41" s="2331"/>
      <c r="AZ41" s="2332"/>
      <c r="BA41" s="2333" t="s">
        <v>560</v>
      </c>
      <c r="BB41" s="2336" t="s">
        <v>562</v>
      </c>
      <c r="BC41" s="2183"/>
      <c r="BI41" s="1211">
        <v>14</v>
      </c>
    </row>
    <row customHeight="1" ht="35.699999999999996">
      <c r="Q42" s="347"/>
      <c r="R42" s="432"/>
      <c r="S42" s="2329"/>
      <c r="T42" s="2265"/>
      <c r="U42" s="1087"/>
      <c r="V42" s="2248" t="s">
        <v>645</v>
      </c>
      <c r="W42" s="2249"/>
      <c r="X42" s="2248" t="s">
        <v>646</v>
      </c>
      <c r="Y42" s="2249"/>
      <c r="Z42" s="2350" t="s">
        <v>647</v>
      </c>
      <c r="AA42" s="2369"/>
      <c r="AB42" s="2370"/>
      <c r="AC42" s="2334"/>
      <c r="AD42" s="2386"/>
      <c r="AE42" s="2387"/>
      <c r="AF42" s="2387"/>
      <c r="AG42" s="2388"/>
      <c r="AH42" s="2386"/>
      <c r="AI42" s="2387"/>
      <c r="AJ42" s="2387"/>
      <c r="AK42" s="2388"/>
      <c r="AL42" s="2386"/>
      <c r="AM42" s="2387"/>
      <c r="AN42" s="2387"/>
      <c r="AO42" s="2388"/>
      <c r="AP42" s="2386"/>
      <c r="AQ42" s="2387"/>
      <c r="AR42" s="2387"/>
      <c r="AS42" s="2388"/>
      <c r="AT42" s="2248" t="s">
        <v>660</v>
      </c>
      <c r="AU42" s="2249"/>
      <c r="AV42" s="2248" t="s">
        <v>661</v>
      </c>
      <c r="AW42" s="2249"/>
      <c r="AX42" s="2350" t="s">
        <v>647</v>
      </c>
      <c r="AY42" s="2369"/>
      <c r="AZ42" s="2370"/>
      <c r="BA42" s="2334"/>
      <c r="BB42" s="2337"/>
      <c r="BC42" s="2183"/>
      <c r="BI42" s="1211">
        <v>34</v>
      </c>
    </row>
    <row customHeight="1" ht="14.699999999999998">
      <c r="Q43" s="347"/>
      <c r="R43" s="432"/>
      <c r="S43" s="2329"/>
      <c r="T43" s="2265"/>
      <c r="U43" s="1087"/>
      <c r="V43" s="2256"/>
      <c r="W43" s="2257"/>
      <c r="X43" s="2256"/>
      <c r="Y43" s="2257"/>
      <c r="Z43" s="2351"/>
      <c r="AA43" s="2371"/>
      <c r="AB43" s="2372"/>
      <c r="AC43" s="2334"/>
      <c r="AD43" s="2386"/>
      <c r="AE43" s="2387"/>
      <c r="AF43" s="2387"/>
      <c r="AG43" s="2388"/>
      <c r="AH43" s="2386"/>
      <c r="AI43" s="2387"/>
      <c r="AJ43" s="2387"/>
      <c r="AK43" s="2388"/>
      <c r="AL43" s="2386"/>
      <c r="AM43" s="2387"/>
      <c r="AN43" s="2387"/>
      <c r="AO43" s="2388"/>
      <c r="AP43" s="2386"/>
      <c r="AQ43" s="2387"/>
      <c r="AR43" s="2387"/>
      <c r="AS43" s="2388"/>
      <c r="AT43" s="2256"/>
      <c r="AU43" s="2257"/>
      <c r="AV43" s="2256"/>
      <c r="AW43" s="2257"/>
      <c r="AX43" s="2351"/>
      <c r="AY43" s="2371"/>
      <c r="AZ43" s="2372"/>
      <c r="BA43" s="2334"/>
      <c r="BB43" s="2337"/>
      <c r="BC43" s="2183"/>
      <c r="BI43" s="1211">
        <v>14</v>
      </c>
    </row>
    <row customHeight="1" ht="14.699999999999998">
      <c r="A44" s="1426"/>
      <c r="B44" s="1426" t="s">
        <v>214</v>
      </c>
      <c r="C44" s="1426" t="s">
        <v>215</v>
      </c>
      <c r="D44" s="1426" t="s">
        <v>216</v>
      </c>
      <c r="E44" s="1420" t="s">
        <v>567</v>
      </c>
      <c r="F44" s="1420" t="s">
        <v>568</v>
      </c>
      <c r="G44" s="1420" t="s">
        <v>569</v>
      </c>
      <c r="H44" s="1420" t="s">
        <v>570</v>
      </c>
      <c r="I44" s="1420" t="s">
        <v>571</v>
      </c>
      <c r="J44" s="1420" t="s">
        <v>572</v>
      </c>
      <c r="K44" s="1420" t="s">
        <v>573</v>
      </c>
      <c r="L44" s="1420" t="s">
        <v>548</v>
      </c>
      <c r="Q44" s="347"/>
      <c r="R44" s="432"/>
      <c r="S44" s="2329"/>
      <c r="T44" s="2265"/>
      <c r="U44" s="358"/>
      <c r="V44" s="1535" t="s">
        <v>607</v>
      </c>
      <c r="W44" s="1535" t="s">
        <v>608</v>
      </c>
      <c r="X44" s="1535" t="s">
        <v>607</v>
      </c>
      <c r="Y44" s="1535" t="s">
        <v>608</v>
      </c>
      <c r="Z44" s="1545" t="s">
        <v>576</v>
      </c>
      <c r="AA44" s="2326" t="s">
        <v>577</v>
      </c>
      <c r="AB44" s="2327"/>
      <c r="AC44" s="2335"/>
      <c r="AD44" s="2389"/>
      <c r="AE44" s="2390"/>
      <c r="AF44" s="2390"/>
      <c r="AG44" s="2391"/>
      <c r="AH44" s="2389"/>
      <c r="AI44" s="2390"/>
      <c r="AJ44" s="2390"/>
      <c r="AK44" s="2391"/>
      <c r="AL44" s="2389"/>
      <c r="AM44" s="2390"/>
      <c r="AN44" s="2390"/>
      <c r="AO44" s="2391"/>
      <c r="AP44" s="2389"/>
      <c r="AQ44" s="2390"/>
      <c r="AR44" s="2390"/>
      <c r="AS44" s="2391"/>
      <c r="AT44" s="1535" t="s">
        <v>607</v>
      </c>
      <c r="AU44" s="1535" t="s">
        <v>608</v>
      </c>
      <c r="AV44" s="1535" t="s">
        <v>607</v>
      </c>
      <c r="AW44" s="1535" t="s">
        <v>608</v>
      </c>
      <c r="AX44" s="1545" t="s">
        <v>576</v>
      </c>
      <c r="AY44" s="2326" t="s">
        <v>577</v>
      </c>
      <c r="AZ44" s="2327"/>
      <c r="BA44" s="2335"/>
      <c r="BB44" s="2338"/>
      <c r="BC44" s="2183"/>
      <c r="BI44" s="1211">
        <v>14</v>
      </c>
    </row>
    <row s="3442" customFormat="1" customHeight="1" ht="11.25" hidden="1">
      <c r="A45" s="1426"/>
      <c r="B45" s="1426"/>
      <c r="C45" s="1426"/>
      <c r="D45" s="1426"/>
      <c r="E45" s="1426"/>
      <c r="F45" s="1426"/>
      <c r="G45" s="1426"/>
      <c r="H45" s="1426"/>
      <c r="I45" s="1426"/>
      <c r="J45" s="1426"/>
      <c r="K45" s="1426"/>
      <c r="L45" s="1420"/>
      <c r="M45" s="1418"/>
      <c r="N45" s="1418"/>
      <c r="O45" s="1418"/>
      <c r="P45" s="566"/>
      <c r="Q45" s="1310"/>
      <c r="R45" s="1310">
        <v>1</v>
      </c>
      <c r="S45" s="1333" t="s">
        <v>191</v>
      </c>
      <c r="T45" s="1311" t="s">
        <v>108</v>
      </c>
      <c r="U45" s="1301" t="str">
        <f>OFFSET(U45,0,-1)</f>
        <v>2</v>
      </c>
      <c r="V45" s="1538">
        <f>OFFSET(V45,0,-1)+1</f>
        <v>3</v>
      </c>
      <c r="W45" s="1538">
        <f>OFFSET(W45,0,-1)+1</f>
        <v>4</v>
      </c>
      <c r="X45" s="1538">
        <f>OFFSET(X45,0,-1)+1</f>
        <v>5</v>
      </c>
      <c r="Y45" s="1538">
        <f>OFFSET(Y45,0,-1)+1</f>
        <v>6</v>
      </c>
      <c r="Z45" s="1538">
        <f>OFFSET(Z45,0,-1)+1</f>
        <v>7</v>
      </c>
      <c r="AA45" s="2328">
        <f>OFFSET(AA45,0,-1)+1</f>
        <v>8</v>
      </c>
      <c r="AB45" s="2328"/>
      <c r="AC45" s="1538">
        <f>OFFSET(AC45,0,-2)+1</f>
        <v>9</v>
      </c>
      <c r="AD45" s="1538">
        <f>OFFSET(AD45,0,-1)+1</f>
        <v>10</v>
      </c>
      <c r="AE45" s="1538"/>
      <c r="AF45" s="1538"/>
      <c r="AG45" s="1538"/>
      <c r="AH45" s="1538"/>
      <c r="AI45" s="1538"/>
      <c r="AJ45" s="1538"/>
      <c r="AK45" s="1538"/>
      <c r="AL45" s="1538"/>
      <c r="AM45" s="1538"/>
      <c r="AN45" s="1538"/>
      <c r="AO45" s="1538"/>
      <c r="AP45" s="1538"/>
      <c r="AQ45" s="1538"/>
      <c r="AR45" s="1538"/>
      <c r="AS45" s="1538"/>
      <c r="AT45" s="1538"/>
      <c r="AU45" s="1538"/>
      <c r="AV45" s="1538"/>
      <c r="AW45" s="1538">
        <f>OFFSET(AW45,0,-1)+1</f>
        <v>1</v>
      </c>
      <c r="AX45" s="1538">
        <f>OFFSET(AX45,0,-1)+1</f>
        <v>2</v>
      </c>
      <c r="AY45" s="2328">
        <f>OFFSET(AY45,0,-1)+1</f>
        <v>3</v>
      </c>
      <c r="AZ45" s="2328"/>
      <c r="BA45" s="1538">
        <f>OFFSET(BA45,0,-2)+1</f>
        <v>4</v>
      </c>
      <c r="BB45" s="1301">
        <f>OFFSET(BB45,0,-1)</f>
        <v>4</v>
      </c>
      <c r="BC45" s="1538">
        <f>OFFSET(BC45,0,-1)+1</f>
        <v>5</v>
      </c>
      <c r="BD45" s="567"/>
      <c r="BE45" s="567"/>
      <c r="BF45" s="567"/>
      <c r="BG45" s="567"/>
      <c r="BH45" s="567"/>
      <c r="BI45" s="552">
        <v>0</v>
      </c>
    </row>
    <row customHeight="1" ht="22.049999999999997">
      <c r="A46" s="1419" t="s">
        <v>408</v>
      </c>
      <c r="B46" s="1419"/>
      <c r="C46" s="1419"/>
      <c r="D46" s="1419"/>
      <c r="E46" s="2314">
        <v>1</v>
      </c>
      <c r="F46" s="1419"/>
      <c r="G46" s="1419"/>
      <c r="H46" s="1419"/>
      <c r="I46" s="1419"/>
      <c r="J46" s="1419"/>
      <c r="K46" s="1419"/>
      <c r="L46" s="1420"/>
      <c r="M46" s="1421"/>
      <c r="N46" s="1421"/>
      <c r="O46" s="1421"/>
      <c r="P46" s="1465"/>
      <c r="Q46" s="929"/>
      <c r="R46" s="411"/>
      <c r="S46" s="1549">
        <f>INDEX(PT_DIFFERENTIATION_NUM_NTAR,MATCH(A46,PT_DIFFERENTIATION_NTAR_ID,0))</f>
        <v>0</v>
      </c>
      <c r="T46" s="354" t="s">
        <v>202</v>
      </c>
      <c r="U46" s="356"/>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56"/>
      <c r="BF46" s="556" t="str">
        <f>IF(T46="","",T46)</f>
        <v>Наименование тарифа</v>
      </c>
      <c r="BG46" s="556"/>
      <c r="BH46" s="556"/>
      <c r="BI46" s="1211">
        <v>21</v>
      </c>
    </row>
    <row customHeight="1" ht="22.049999999999997">
      <c r="A47" s="1419" t="s">
        <v>408</v>
      </c>
      <c r="B47" s="1419" t="s">
        <v>409</v>
      </c>
      <c r="C47" s="1419"/>
      <c r="D47" s="1419"/>
      <c r="E47" s="2315"/>
      <c r="F47" s="2314">
        <v>1</v>
      </c>
      <c r="G47" s="1419"/>
      <c r="H47" s="1419"/>
      <c r="I47" s="1419"/>
      <c r="J47" s="1419"/>
      <c r="K47" s="1419"/>
      <c r="L47" s="1420"/>
      <c r="M47" s="1421"/>
      <c r="N47" s="1421"/>
      <c r="O47" s="1421"/>
      <c r="P47" s="1466"/>
      <c r="Q47" s="1467"/>
      <c r="R47" s="409"/>
      <c r="S47" s="1549" t="str">
        <f>INDEX(PT_DIFFERENTIATION_NUM_TER,MATCH(B47,PT_DIFFERENTIATION_TER_ID,0))</f>
        <v>.</v>
      </c>
      <c r="T47" s="364" t="s">
        <v>529</v>
      </c>
      <c r="U47" s="356"/>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314" t="s">
        <v>530</v>
      </c>
      <c r="BE47" s="556"/>
      <c r="BF47" s="556" t="str">
        <f>IF(T47="","",T47)</f>
        <v>Территория действия тарифа</v>
      </c>
      <c r="BG47" s="556"/>
      <c r="BH47" s="556"/>
      <c r="BI47" s="1211">
        <v>21</v>
      </c>
    </row>
    <row customHeight="1" ht="35.699999999999996">
      <c r="A48" s="1419" t="s">
        <v>408</v>
      </c>
      <c r="B48" s="1419" t="s">
        <v>409</v>
      </c>
      <c r="C48" s="1419" t="s">
        <v>410</v>
      </c>
      <c r="D48" s="1419"/>
      <c r="E48" s="2315"/>
      <c r="F48" s="2315"/>
      <c r="G48" s="2314">
        <v>1</v>
      </c>
      <c r="H48" s="1419"/>
      <c r="I48" s="1419"/>
      <c r="J48" s="1419"/>
      <c r="K48" s="1419"/>
      <c r="L48" s="1420"/>
      <c r="M48" s="1421"/>
      <c r="N48" s="1421"/>
      <c r="O48" s="1421"/>
      <c r="P48" s="1468"/>
      <c r="Q48" s="1467"/>
      <c r="R48" s="409"/>
      <c r="S48" s="1549" t="str">
        <f>INDEX(PT_DIFFERENTIATION_NUM_CS,MATCH(C48,PT_DIFFERENTIATION_CS_ID,0))</f>
        <v>..</v>
      </c>
      <c r="T48" s="365" t="s">
        <v>649</v>
      </c>
      <c r="U48" s="356"/>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314" t="s">
        <v>650</v>
      </c>
      <c r="BE48" s="556"/>
      <c r="BF48" s="556" t="str">
        <f>IF(T48="","",T48)</f>
        <v>Наименование централизованной системы водоотведения</v>
      </c>
      <c r="BG48" s="556"/>
      <c r="BH48" s="556"/>
      <c r="BI48" s="1211">
        <v>34</v>
      </c>
    </row>
    <row s="2851" customFormat="1" customHeight="1" ht="0">
      <c r="A49" s="1399" t="s">
        <v>408</v>
      </c>
      <c r="B49" s="1399" t="s">
        <v>409</v>
      </c>
      <c r="C49" s="1399" t="s">
        <v>410</v>
      </c>
      <c r="D49" s="1399" t="s">
        <v>662</v>
      </c>
      <c r="E49" s="2315"/>
      <c r="F49" s="2315"/>
      <c r="G49" s="2315"/>
      <c r="H49" s="2314">
        <v>1</v>
      </c>
      <c r="I49" s="1399"/>
      <c r="J49" s="1399"/>
      <c r="K49" s="1399"/>
      <c r="L49" s="1402"/>
      <c r="M49" s="1371"/>
      <c r="N49" s="1371"/>
      <c r="O49" s="1371"/>
      <c r="P49" s="1553"/>
      <c r="Q49" s="1554"/>
      <c r="R49" s="413"/>
      <c r="S49" s="1098"/>
      <c r="T49" s="1555"/>
      <c r="U49" s="1440"/>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441" t="s">
        <v>534</v>
      </c>
      <c r="BE49" s="556"/>
      <c r="BF49" s="556" t="str">
        <f>IF(T49="","",T49)</f>
        <v/>
      </c>
      <c r="BG49" s="556"/>
      <c r="BH49" s="556"/>
      <c r="BI49" s="567">
        <v>0</v>
      </c>
    </row>
    <row s="2851" customFormat="1" customHeight="1" ht="0">
      <c r="A50" s="1399" t="s">
        <v>408</v>
      </c>
      <c r="B50" s="1399" t="s">
        <v>409</v>
      </c>
      <c r="C50" s="1399" t="s">
        <v>410</v>
      </c>
      <c r="D50" s="1399" t="s">
        <v>662</v>
      </c>
      <c r="E50" s="2315"/>
      <c r="F50" s="2315"/>
      <c r="G50" s="2315"/>
      <c r="H50" s="2315"/>
      <c r="I50" s="2312" t="str">
        <f>S49&amp;".1"</f>
        <v>.1</v>
      </c>
      <c r="J50" s="1399"/>
      <c r="K50" s="1399"/>
      <c r="L50" s="1402" t="s">
        <v>535</v>
      </c>
      <c r="M50" s="566"/>
      <c r="N50" s="566"/>
      <c r="O50" s="566"/>
      <c r="P50" s="2313">
        <v>1</v>
      </c>
      <c r="Q50" s="1537"/>
      <c r="R50" s="412"/>
      <c r="S50" s="1098"/>
      <c r="T50" s="1439"/>
      <c r="U50" s="1440"/>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441"/>
      <c r="BE50" s="556"/>
      <c r="BF50" s="556" t="str">
        <f>IF(T50="","",T50)</f>
        <v/>
      </c>
      <c r="BG50" s="556"/>
      <c r="BH50" s="556"/>
      <c r="BI50" s="567">
        <v>0</v>
      </c>
    </row>
    <row s="2851" customFormat="1" customHeight="1" ht="0">
      <c r="A51" s="1399" t="s">
        <v>408</v>
      </c>
      <c r="B51" s="1399" t="s">
        <v>409</v>
      </c>
      <c r="C51" s="1399" t="s">
        <v>410</v>
      </c>
      <c r="D51" s="1399" t="s">
        <v>662</v>
      </c>
      <c r="E51" s="2315"/>
      <c r="F51" s="2315"/>
      <c r="G51" s="2315"/>
      <c r="H51" s="2315"/>
      <c r="I51" s="2342"/>
      <c r="J51" s="2312" t="str">
        <f>S49&amp;".1"</f>
        <v>.1</v>
      </c>
      <c r="K51" s="1399"/>
      <c r="L51" s="1402"/>
      <c r="M51" s="566"/>
      <c r="N51" s="566"/>
      <c r="O51" s="566"/>
      <c r="P51" s="2313"/>
      <c r="Q51" s="2313">
        <v>1</v>
      </c>
      <c r="R51" s="413"/>
      <c r="S51" s="1098"/>
      <c r="T51" s="1455"/>
      <c r="U51" s="1440"/>
      <c r="V51" s="2353"/>
      <c r="W51" s="2353"/>
      <c r="X51" s="2353"/>
      <c r="Y51" s="2353"/>
      <c r="Z51" s="2353"/>
      <c r="AA51" s="2353"/>
      <c r="AB51" s="2353"/>
      <c r="AC51" s="2354"/>
      <c r="AD51" s="2352"/>
      <c r="AE51" s="2353"/>
      <c r="AF51" s="2353"/>
      <c r="AG51" s="2353"/>
      <c r="AH51" s="2353"/>
      <c r="AI51" s="2353"/>
      <c r="AJ51" s="2353"/>
      <c r="AK51" s="2353"/>
      <c r="AL51" s="2353"/>
      <c r="AM51" s="2353"/>
      <c r="AN51" s="2420"/>
      <c r="AO51" s="2420"/>
      <c r="AP51" s="2353"/>
      <c r="AQ51" s="2353"/>
      <c r="AR51" s="2353"/>
      <c r="AS51" s="2353"/>
      <c r="AT51" s="2353"/>
      <c r="AU51" s="2353"/>
      <c r="AV51" s="2353"/>
      <c r="AW51" s="2353"/>
      <c r="AX51" s="2353"/>
      <c r="AY51" s="2353"/>
      <c r="AZ51" s="2353"/>
      <c r="BA51" s="2353"/>
      <c r="BB51" s="2354"/>
      <c r="BC51" s="1441"/>
      <c r="BE51" s="556"/>
      <c r="BF51" s="556" t="str">
        <f>IF(T51="","",T51)</f>
        <v/>
      </c>
      <c r="BG51" s="556"/>
      <c r="BH51" s="556"/>
      <c r="BI51" s="567">
        <v>0</v>
      </c>
    </row>
    <row customHeight="1" ht="11.549999999999999">
      <c r="A52" s="1419" t="s">
        <v>408</v>
      </c>
      <c r="B52" s="1419" t="s">
        <v>409</v>
      </c>
      <c r="C52" s="1419" t="s">
        <v>410</v>
      </c>
      <c r="D52" s="1419" t="s">
        <v>662</v>
      </c>
      <c r="E52" s="2315"/>
      <c r="F52" s="2315"/>
      <c r="G52" s="2315"/>
      <c r="H52" s="2315"/>
      <c r="I52" s="2342"/>
      <c r="J52" s="2342"/>
      <c r="K52" s="2312" t="str">
        <f>S48&amp;".1"</f>
        <v>...1</v>
      </c>
      <c r="L52" s="1420"/>
      <c r="P52" s="2313"/>
      <c r="Q52" s="2313"/>
      <c r="R52" s="413">
        <v>1</v>
      </c>
      <c r="S52" s="2397" t="str">
        <f>$K52</f>
        <v>...1</v>
      </c>
      <c r="T52" s="2416"/>
      <c r="U52" s="356"/>
      <c r="V52" s="807"/>
      <c r="W52" s="1313"/>
      <c r="X52" s="807"/>
      <c r="Y52" s="1313"/>
      <c r="Z52" s="1790"/>
      <c r="AA52" s="1525" t="s">
        <v>65</v>
      </c>
      <c r="AB52" s="1790"/>
      <c r="AC52" s="1525" t="s">
        <v>65</v>
      </c>
      <c r="AD52" s="2241" t="s">
        <v>65</v>
      </c>
      <c r="AE52" s="2382"/>
      <c r="AF52" s="2261">
        <v>1</v>
      </c>
      <c r="AG52" s="2419"/>
      <c r="AH52" s="2163" t="s">
        <v>65</v>
      </c>
      <c r="AI52" s="2382"/>
      <c r="AJ52" s="2261">
        <v>1</v>
      </c>
      <c r="AK52" s="2383" t="s">
        <v>28</v>
      </c>
      <c r="AL52" s="2163" t="s">
        <v>65</v>
      </c>
      <c r="AM52" s="2248"/>
      <c r="AN52" s="2261">
        <v>1</v>
      </c>
      <c r="AO52" s="2413"/>
      <c r="AP52" s="2414" t="s">
        <v>65</v>
      </c>
      <c r="AQ52" s="367"/>
      <c r="AR52" s="1542">
        <v>1</v>
      </c>
      <c r="AS52" s="1548" t="s">
        <v>28</v>
      </c>
      <c r="AT52" s="807"/>
      <c r="AU52" s="1313"/>
      <c r="AV52" s="807"/>
      <c r="AW52" s="1313"/>
      <c r="AX52" s="1790"/>
      <c r="AY52" s="1525" t="s">
        <v>65</v>
      </c>
      <c r="AZ52" s="1790"/>
      <c r="BA52" s="1525" t="s">
        <v>65</v>
      </c>
      <c r="BB52" s="1404"/>
      <c r="BC52" s="2309" t="s">
        <v>634</v>
      </c>
      <c r="BE52" s="556"/>
      <c r="BF52" s="556" t="str">
        <f>IF(T52="","",T52)</f>
        <v/>
      </c>
      <c r="BG52" s="556"/>
      <c r="BH52" s="556"/>
      <c r="BI52" s="1211">
        <v>11</v>
      </c>
    </row>
    <row customHeight="1" ht="11.549999999999999">
      <c r="A53" s="1419"/>
      <c r="B53" s="1419"/>
      <c r="C53" s="1419"/>
      <c r="D53" s="1419"/>
      <c r="E53" s="2315"/>
      <c r="F53" s="2315"/>
      <c r="G53" s="2315"/>
      <c r="H53" s="2315"/>
      <c r="I53" s="2342"/>
      <c r="J53" s="2342"/>
      <c r="K53" s="2312"/>
      <c r="L53" s="1420"/>
      <c r="P53" s="2313"/>
      <c r="Q53" s="2313"/>
      <c r="R53" s="413"/>
      <c r="S53" s="2398"/>
      <c r="T53" s="2417"/>
      <c r="U53" s="356"/>
      <c r="V53" s="1449"/>
      <c r="W53" s="1552"/>
      <c r="X53" s="1449"/>
      <c r="Y53" s="1552"/>
      <c r="Z53" s="1449"/>
      <c r="AA53" s="1449"/>
      <c r="AB53" s="1449"/>
      <c r="AC53" s="1449"/>
      <c r="AD53" s="2242"/>
      <c r="AE53" s="2382"/>
      <c r="AF53" s="2261"/>
      <c r="AG53" s="2419"/>
      <c r="AH53" s="2163"/>
      <c r="AI53" s="2382"/>
      <c r="AJ53" s="2261"/>
      <c r="AK53" s="2383"/>
      <c r="AL53" s="2163"/>
      <c r="AM53" s="2256"/>
      <c r="AN53" s="2261"/>
      <c r="AO53" s="2413"/>
      <c r="AP53" s="2415"/>
      <c r="AQ53" s="372"/>
      <c r="AR53" s="472"/>
      <c r="AS53" s="472" t="s">
        <v>635</v>
      </c>
      <c r="AT53" s="1449"/>
      <c r="AU53" s="1552"/>
      <c r="AV53" s="1449"/>
      <c r="AW53" s="1552"/>
      <c r="AX53" s="1449"/>
      <c r="AY53" s="1449"/>
      <c r="AZ53" s="1449"/>
      <c r="BA53" s="1449"/>
      <c r="BB53" s="1453"/>
      <c r="BC53" s="2310"/>
      <c r="BE53" s="556"/>
      <c r="BF53" s="556"/>
      <c r="BG53" s="556"/>
      <c r="BH53" s="556"/>
      <c r="BI53" s="1211">
        <v>11</v>
      </c>
    </row>
    <row customHeight="1" ht="11.549999999999999">
      <c r="A54" s="1419" t="s">
        <v>408</v>
      </c>
      <c r="B54" s="1419"/>
      <c r="C54" s="1419"/>
      <c r="D54" s="1419"/>
      <c r="E54" s="2315"/>
      <c r="F54" s="2315"/>
      <c r="G54" s="2315"/>
      <c r="H54" s="2315"/>
      <c r="I54" s="2342"/>
      <c r="J54" s="2342"/>
      <c r="K54" s="2312"/>
      <c r="L54" s="1420"/>
      <c r="P54" s="2313"/>
      <c r="Q54" s="2313"/>
      <c r="R54" s="413"/>
      <c r="S54" s="2398"/>
      <c r="T54" s="2417"/>
      <c r="U54" s="356"/>
      <c r="V54" s="1449"/>
      <c r="W54" s="1552"/>
      <c r="X54" s="1449"/>
      <c r="Y54" s="1552"/>
      <c r="Z54" s="1449"/>
      <c r="AA54" s="1449"/>
      <c r="AB54" s="1449"/>
      <c r="AC54" s="1449"/>
      <c r="AD54" s="2242"/>
      <c r="AE54" s="2382"/>
      <c r="AF54" s="2261"/>
      <c r="AG54" s="2419"/>
      <c r="AH54" s="2163"/>
      <c r="AI54" s="2382"/>
      <c r="AJ54" s="2261"/>
      <c r="AK54" s="2383"/>
      <c r="AL54" s="2163"/>
      <c r="AM54" s="372"/>
      <c r="AN54" s="1556"/>
      <c r="AO54" s="1556" t="s">
        <v>655</v>
      </c>
      <c r="AP54" s="472"/>
      <c r="AQ54" s="472"/>
      <c r="AR54" s="472"/>
      <c r="AS54" s="1449"/>
      <c r="AT54" s="1449"/>
      <c r="AU54" s="1552"/>
      <c r="AV54" s="1449"/>
      <c r="AW54" s="1552"/>
      <c r="AX54" s="1449"/>
      <c r="AY54" s="1449"/>
      <c r="AZ54" s="1449"/>
      <c r="BA54" s="1449"/>
      <c r="BB54" s="1453"/>
      <c r="BC54" s="2310"/>
      <c r="BE54" s="556"/>
      <c r="BF54" s="556"/>
      <c r="BG54" s="556"/>
      <c r="BH54" s="556"/>
      <c r="BI54" s="1211">
        <v>11</v>
      </c>
    </row>
    <row customHeight="1" ht="11.549999999999999">
      <c r="A55" s="1419" t="s">
        <v>408</v>
      </c>
      <c r="B55" s="1419"/>
      <c r="C55" s="1419"/>
      <c r="D55" s="1419"/>
      <c r="E55" s="2315"/>
      <c r="F55" s="2315"/>
      <c r="G55" s="2315"/>
      <c r="H55" s="2315"/>
      <c r="I55" s="2342"/>
      <c r="J55" s="2342"/>
      <c r="K55" s="2312"/>
      <c r="L55" s="1420"/>
      <c r="P55" s="2313"/>
      <c r="Q55" s="2313"/>
      <c r="R55" s="413"/>
      <c r="S55" s="2398"/>
      <c r="T55" s="2417"/>
      <c r="U55" s="356"/>
      <c r="V55" s="1449"/>
      <c r="W55" s="1552"/>
      <c r="X55" s="1449"/>
      <c r="Y55" s="1552"/>
      <c r="Z55" s="1449"/>
      <c r="AA55" s="1449"/>
      <c r="AB55" s="1449"/>
      <c r="AC55" s="1449"/>
      <c r="AD55" s="2242"/>
      <c r="AE55" s="2382"/>
      <c r="AF55" s="2261"/>
      <c r="AG55" s="2419"/>
      <c r="AH55" s="2163"/>
      <c r="AI55" s="350"/>
      <c r="AJ55" s="471"/>
      <c r="AK55" s="369" t="s">
        <v>656</v>
      </c>
      <c r="AL55" s="1449"/>
      <c r="AM55" s="1449"/>
      <c r="AN55" s="1449"/>
      <c r="AO55" s="1449"/>
      <c r="AP55" s="1449"/>
      <c r="AQ55" s="1449"/>
      <c r="AR55" s="1449"/>
      <c r="AS55" s="1449"/>
      <c r="AT55" s="1449"/>
      <c r="AU55" s="1552"/>
      <c r="AV55" s="1449"/>
      <c r="AW55" s="1552"/>
      <c r="AX55" s="1449"/>
      <c r="AY55" s="1449"/>
      <c r="AZ55" s="1449"/>
      <c r="BA55" s="1449"/>
      <c r="BB55" s="1453"/>
      <c r="BC55" s="2310"/>
      <c r="BE55" s="556"/>
      <c r="BF55" s="556"/>
      <c r="BG55" s="556"/>
      <c r="BH55" s="556"/>
      <c r="BI55" s="1211">
        <v>11</v>
      </c>
    </row>
    <row customHeight="1" ht="11.549999999999999">
      <c r="A56" s="1419" t="s">
        <v>408</v>
      </c>
      <c r="B56" s="1419" t="s">
        <v>409</v>
      </c>
      <c r="C56" s="1419" t="s">
        <v>410</v>
      </c>
      <c r="D56" s="1419" t="s">
        <v>662</v>
      </c>
      <c r="E56" s="2315"/>
      <c r="F56" s="2315"/>
      <c r="G56" s="2315"/>
      <c r="H56" s="2315"/>
      <c r="I56" s="2342"/>
      <c r="J56" s="2342"/>
      <c r="K56" s="2312"/>
      <c r="L56" s="1420"/>
      <c r="P56" s="2313"/>
      <c r="Q56" s="2313"/>
      <c r="R56" s="413"/>
      <c r="S56" s="2399"/>
      <c r="T56" s="2418"/>
      <c r="U56" s="356"/>
      <c r="V56" s="1449"/>
      <c r="W56" s="1450" t="str">
        <f>Z52&amp;"-"&amp;AB52</f>
        <v>-</v>
      </c>
      <c r="X56" s="1449"/>
      <c r="Y56" s="1450" t="str">
        <f>AB52&amp;"-"&amp;AD52</f>
        <v>-да</v>
      </c>
      <c r="Z56" s="1449"/>
      <c r="AA56" s="1449"/>
      <c r="AB56" s="1449"/>
      <c r="AC56" s="1449"/>
      <c r="AD56" s="2168"/>
      <c r="AE56" s="368"/>
      <c r="AF56" s="370"/>
      <c r="AG56" s="472" t="s">
        <v>638</v>
      </c>
      <c r="AH56" s="1449"/>
      <c r="AI56" s="1449"/>
      <c r="AJ56" s="1449"/>
      <c r="AK56" s="1449"/>
      <c r="AL56" s="1449"/>
      <c r="AM56" s="1449"/>
      <c r="AN56" s="1449"/>
      <c r="AO56" s="1449"/>
      <c r="AP56" s="1449"/>
      <c r="AQ56" s="1449"/>
      <c r="AR56" s="1449"/>
      <c r="AS56" s="1449"/>
      <c r="AT56" s="1449"/>
      <c r="AU56" s="1450" t="str">
        <f>AX52&amp;"-"&amp;AZ52</f>
        <v>-</v>
      </c>
      <c r="AV56" s="1449"/>
      <c r="AW56" s="1450" t="str">
        <f>AZ52&amp;"-"&amp;BB52</f>
        <v>-</v>
      </c>
      <c r="AX56" s="1449"/>
      <c r="AY56" s="1449"/>
      <c r="AZ56" s="1449"/>
      <c r="BA56" s="1449"/>
      <c r="BB56" s="1452" t="str">
        <f>BE52&amp;"-"&amp;BG52</f>
        <v>-</v>
      </c>
      <c r="BC56" s="2310"/>
      <c r="BE56" s="556"/>
      <c r="BF56" s="556" t="str">
        <f>IF(T56="","",T56)</f>
        <v/>
      </c>
      <c r="BG56" s="556"/>
      <c r="BH56" s="556"/>
      <c r="BI56" s="1211">
        <v>11</v>
      </c>
    </row>
    <row customHeight="1" ht="11.549999999999999">
      <c r="A57" s="1419" t="s">
        <v>408</v>
      </c>
      <c r="B57" s="1419" t="s">
        <v>409</v>
      </c>
      <c r="C57" s="1419" t="s">
        <v>410</v>
      </c>
      <c r="D57" s="1419" t="s">
        <v>662</v>
      </c>
      <c r="E57" s="2315"/>
      <c r="F57" s="2315"/>
      <c r="G57" s="2315"/>
      <c r="H57" s="2315"/>
      <c r="I57" s="2342"/>
      <c r="J57" s="2312"/>
      <c r="K57" s="1419"/>
      <c r="L57" s="1420"/>
      <c r="P57" s="2313"/>
      <c r="Q57" s="2313"/>
      <c r="R57" s="412"/>
      <c r="S57" s="1334"/>
      <c r="T57" s="343" t="s">
        <v>597</v>
      </c>
      <c r="U57" s="423"/>
      <c r="V57" s="423"/>
      <c r="W57" s="423"/>
      <c r="X57" s="423"/>
      <c r="Y57" s="423"/>
      <c r="Z57" s="423"/>
      <c r="AA57" s="423"/>
      <c r="AB57" s="423"/>
      <c r="AC57" s="380"/>
      <c r="AD57" s="1561"/>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380"/>
      <c r="BC57" s="2311"/>
      <c r="BE57" s="556"/>
      <c r="BF57" s="556" t="str">
        <f>IF(T57="","",T57)</f>
        <v>Добавить строку</v>
      </c>
      <c r="BG57" s="556"/>
      <c r="BH57" s="556"/>
      <c r="BI57" s="1211">
        <v>11</v>
      </c>
    </row>
    <row s="2851" customFormat="1" customHeight="1" ht="0">
      <c r="A58" s="1399" t="s">
        <v>408</v>
      </c>
      <c r="B58" s="1399" t="s">
        <v>409</v>
      </c>
      <c r="C58" s="1399" t="s">
        <v>410</v>
      </c>
      <c r="D58" s="1399" t="s">
        <v>662</v>
      </c>
      <c r="E58" s="2315"/>
      <c r="F58" s="2315"/>
      <c r="G58" s="2315"/>
      <c r="H58" s="2315"/>
      <c r="I58" s="2312"/>
      <c r="J58" s="1399"/>
      <c r="K58" s="1399"/>
      <c r="L58" s="1402"/>
      <c r="M58" s="566"/>
      <c r="N58" s="566"/>
      <c r="O58" s="566"/>
      <c r="P58" s="2313"/>
      <c r="Q58" s="1537"/>
      <c r="R58" s="412"/>
      <c r="S58" s="1442"/>
      <c r="T58" s="1443"/>
      <c r="U58" s="1444"/>
      <c r="V58" s="1444"/>
      <c r="W58" s="1444"/>
      <c r="X58" s="1444"/>
      <c r="Y58" s="1444"/>
      <c r="Z58" s="1444"/>
      <c r="AA58" s="1444"/>
      <c r="AB58" s="1444"/>
      <c r="AC58" s="1444"/>
      <c r="AD58" s="1444"/>
      <c r="AE58" s="1444"/>
      <c r="AF58" s="1444"/>
      <c r="AG58" s="1444"/>
      <c r="AH58" s="1444"/>
      <c r="AI58" s="1444"/>
      <c r="AJ58" s="1444"/>
      <c r="AK58" s="1444"/>
      <c r="AL58" s="1444"/>
      <c r="AM58" s="1444"/>
      <c r="AN58" s="1444"/>
      <c r="AO58" s="1444"/>
      <c r="AP58" s="1444"/>
      <c r="AQ58" s="1444"/>
      <c r="AR58" s="1444"/>
      <c r="AS58" s="1444"/>
      <c r="AT58" s="1444"/>
      <c r="AU58" s="1444"/>
      <c r="AV58" s="1444"/>
      <c r="AW58" s="1444"/>
      <c r="AX58" s="1444"/>
      <c r="AY58" s="1444"/>
      <c r="AZ58" s="1444"/>
      <c r="BA58" s="1444"/>
      <c r="BB58" s="1444"/>
      <c r="BC58" s="1445"/>
      <c r="BE58" s="556"/>
      <c r="BF58" s="556" t="str">
        <f>IF(T58="","",T58)</f>
        <v/>
      </c>
      <c r="BG58" s="556"/>
      <c r="BH58" s="556"/>
      <c r="BI58" s="567">
        <v>0</v>
      </c>
    </row>
    <row s="2851" customFormat="1" customHeight="1" ht="0">
      <c r="A59" s="1399" t="s">
        <v>408</v>
      </c>
      <c r="B59" s="1399" t="s">
        <v>409</v>
      </c>
      <c r="C59" s="1399" t="s">
        <v>410</v>
      </c>
      <c r="D59" s="1399" t="s">
        <v>662</v>
      </c>
      <c r="E59" s="2315"/>
      <c r="F59" s="2315"/>
      <c r="G59" s="2315"/>
      <c r="H59" s="2314"/>
      <c r="I59" s="1399"/>
      <c r="J59" s="1399"/>
      <c r="K59" s="1399"/>
      <c r="L59" s="1402"/>
      <c r="M59" s="1371"/>
      <c r="N59" s="1371"/>
      <c r="O59" s="574"/>
      <c r="P59" s="436"/>
      <c r="Q59" s="1400"/>
      <c r="R59" s="1457"/>
      <c r="S59" s="1442"/>
      <c r="T59" s="1443"/>
      <c r="U59" s="1444"/>
      <c r="V59" s="1444"/>
      <c r="W59" s="1444"/>
      <c r="X59" s="1444"/>
      <c r="Y59" s="1444"/>
      <c r="Z59" s="1444"/>
      <c r="AA59" s="1444"/>
      <c r="AB59" s="1444"/>
      <c r="AC59" s="1444"/>
      <c r="AD59" s="1444"/>
      <c r="AE59" s="1444"/>
      <c r="AF59" s="1444"/>
      <c r="AG59" s="1444"/>
      <c r="AH59" s="1444"/>
      <c r="AI59" s="1444"/>
      <c r="AJ59" s="1444"/>
      <c r="AK59" s="1444"/>
      <c r="AL59" s="1444"/>
      <c r="AM59" s="1444"/>
      <c r="AN59" s="1444"/>
      <c r="AO59" s="1444"/>
      <c r="AP59" s="1444"/>
      <c r="AQ59" s="1444"/>
      <c r="AR59" s="1444"/>
      <c r="AS59" s="1444"/>
      <c r="AT59" s="1444"/>
      <c r="AU59" s="1444"/>
      <c r="AV59" s="1444"/>
      <c r="AW59" s="1444"/>
      <c r="AX59" s="1444"/>
      <c r="AY59" s="1444"/>
      <c r="AZ59" s="1444"/>
      <c r="BA59" s="1444"/>
      <c r="BB59" s="1444"/>
      <c r="BC59" s="1445"/>
      <c r="BE59" s="556"/>
      <c r="BF59" s="556" t="str">
        <f>IF(T59="","",T59)</f>
        <v/>
      </c>
      <c r="BG59" s="556"/>
      <c r="BH59" s="556"/>
      <c r="BI59" s="567">
        <v>0</v>
      </c>
    </row>
    <row s="2851" customFormat="1" customHeight="1" ht="0">
      <c r="A60" s="1399" t="s">
        <v>408</v>
      </c>
      <c r="B60" s="1399" t="s">
        <v>409</v>
      </c>
      <c r="C60" s="1399" t="s">
        <v>410</v>
      </c>
      <c r="D60" s="1370"/>
      <c r="E60" s="2315"/>
      <c r="F60" s="2315"/>
      <c r="G60" s="2314"/>
      <c r="H60" s="1370"/>
      <c r="I60" s="1370"/>
      <c r="J60" s="1370"/>
      <c r="K60" s="1370"/>
      <c r="L60" s="1550"/>
      <c r="M60" s="1371"/>
      <c r="N60" s="1371"/>
      <c r="P60" s="1372"/>
      <c r="Q60" s="1373"/>
      <c r="R60" s="1372"/>
      <c r="S60" s="1378"/>
      <c r="T60" s="1381"/>
      <c r="U60" s="1380"/>
      <c r="V60" s="1380"/>
      <c r="W60" s="1380"/>
      <c r="X60" s="1380"/>
      <c r="Y60" s="1380"/>
      <c r="Z60" s="1380"/>
      <c r="AA60" s="1380"/>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V60" s="1380"/>
      <c r="AW60" s="1380"/>
      <c r="AX60" s="1380"/>
      <c r="AY60" s="1380"/>
      <c r="AZ60" s="1380"/>
      <c r="BA60" s="1380"/>
      <c r="BB60" s="1380"/>
      <c r="BC60" s="1380"/>
      <c r="BE60" s="845"/>
      <c r="BF60" s="845" t="str">
        <f>IF(T60="","",T60)</f>
        <v/>
      </c>
      <c r="BG60" s="845"/>
      <c r="BH60" s="845"/>
      <c r="BI60" s="574">
        <v>0</v>
      </c>
    </row>
    <row s="2851" customFormat="1" customHeight="1" ht="0">
      <c r="A61" s="1399" t="s">
        <v>408</v>
      </c>
      <c r="B61" s="1399" t="s">
        <v>409</v>
      </c>
      <c r="C61" s="1370"/>
      <c r="D61" s="1370"/>
      <c r="E61" s="2315"/>
      <c r="F61" s="2314"/>
      <c r="G61" s="1370"/>
      <c r="H61" s="1370"/>
      <c r="I61" s="1370"/>
      <c r="J61" s="1370"/>
      <c r="K61" s="1370"/>
      <c r="L61" s="1550"/>
      <c r="M61" s="1377"/>
      <c r="N61" s="1377"/>
      <c r="P61" s="1372"/>
      <c r="Q61" s="1373"/>
      <c r="R61" s="1372"/>
      <c r="S61" s="1378"/>
      <c r="T61" s="1381" t="s">
        <v>302</v>
      </c>
      <c r="U61" s="1380"/>
      <c r="V61" s="1380"/>
      <c r="W61" s="1380"/>
      <c r="X61" s="1380"/>
      <c r="Y61" s="1380"/>
      <c r="Z61" s="1380"/>
      <c r="AA61" s="1380"/>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V61" s="1380"/>
      <c r="AW61" s="1380"/>
      <c r="AX61" s="1380"/>
      <c r="AY61" s="1380"/>
      <c r="AZ61" s="1380"/>
      <c r="BA61" s="1380"/>
      <c r="BB61" s="1380"/>
      <c r="BC61" s="1380"/>
      <c r="BE61" s="845"/>
      <c r="BF61" s="845" t="str">
        <f>IF(T61="","",T61)</f>
        <v>Добавить централизованную систему для дифференциации</v>
      </c>
      <c r="BG61" s="845"/>
      <c r="BH61" s="845"/>
      <c r="BI61" s="574">
        <v>0</v>
      </c>
    </row>
    <row s="2851" customFormat="1" customHeight="1" ht="0">
      <c r="A62" s="1399" t="s">
        <v>408</v>
      </c>
      <c r="B62" s="1399"/>
      <c r="C62" s="1399"/>
      <c r="D62" s="1399"/>
      <c r="E62" s="2314"/>
      <c r="F62" s="1399"/>
      <c r="G62" s="1399"/>
      <c r="H62" s="1399"/>
      <c r="I62" s="1399"/>
      <c r="J62" s="1399"/>
      <c r="K62" s="1399"/>
      <c r="L62" s="1402"/>
      <c r="M62" s="1377"/>
      <c r="N62" s="1377"/>
      <c r="O62" s="574"/>
      <c r="P62" s="436"/>
      <c r="Q62" s="1400"/>
      <c r="R62" s="436"/>
      <c r="S62" s="1378"/>
      <c r="T62" s="1381" t="s">
        <v>359</v>
      </c>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E62" s="556"/>
      <c r="BF62" s="556" t="str">
        <f>IF(T62="","",T62)</f>
        <v>Добавить территорию для дифференциации</v>
      </c>
      <c r="BG62" s="556"/>
      <c r="BH62" s="556"/>
      <c r="BI62" s="567">
        <v>0</v>
      </c>
    </row>
    <row s="2851" customFormat="1" customHeight="1" ht="0">
      <c r="A63" s="1370"/>
      <c r="B63" s="1370"/>
      <c r="C63" s="1370"/>
      <c r="D63" s="1370"/>
      <c r="E63" s="1399"/>
      <c r="F63" s="1370"/>
      <c r="G63" s="1370"/>
      <c r="H63" s="1370"/>
      <c r="I63" s="1370"/>
      <c r="J63" s="1370"/>
      <c r="K63" s="1370"/>
      <c r="L63" s="1550"/>
      <c r="M63" s="1377"/>
      <c r="N63" s="1377"/>
      <c r="P63" s="1372"/>
      <c r="Q63" s="1373"/>
      <c r="R63" s="1372"/>
      <c r="S63" s="1378"/>
      <c r="T63" s="1381" t="s">
        <v>360</v>
      </c>
      <c r="U63" s="1380"/>
      <c r="V63" s="1380"/>
      <c r="W63" s="1380"/>
      <c r="X63" s="1380"/>
      <c r="Y63" s="1380"/>
      <c r="Z63" s="1380"/>
      <c r="AA63" s="1380"/>
      <c r="AB63" s="1380"/>
      <c r="AC63" s="1380"/>
      <c r="AD63" s="1380"/>
      <c r="AE63" s="1380"/>
      <c r="AF63" s="1380"/>
      <c r="AG63" s="1380"/>
      <c r="AH63" s="1380"/>
      <c r="AI63" s="1380"/>
      <c r="AJ63" s="1380"/>
      <c r="AK63" s="1380"/>
      <c r="AL63" s="1380"/>
      <c r="AM63" s="1380"/>
      <c r="AN63" s="1380"/>
      <c r="AO63" s="1380"/>
      <c r="AP63" s="1380"/>
      <c r="AQ63" s="1380"/>
      <c r="AR63" s="1380"/>
      <c r="AS63" s="1380"/>
      <c r="AT63" s="1380"/>
      <c r="AU63" s="1380"/>
      <c r="AV63" s="1380"/>
      <c r="AW63" s="1380"/>
      <c r="AX63" s="1380"/>
      <c r="AY63" s="1380"/>
      <c r="AZ63" s="1380"/>
      <c r="BA63" s="1380"/>
      <c r="BB63" s="1380"/>
      <c r="BC63" s="1380"/>
      <c r="BE63" s="845"/>
      <c r="BF63" s="845" t="str">
        <f>IF(T63="","",T63)</f>
        <v>Добавить наименование тарифа</v>
      </c>
      <c r="BG63" s="845"/>
      <c r="BH63" s="845"/>
      <c r="BI63" s="574">
        <v>0</v>
      </c>
    </row>
    <row customHeight="1" ht="11.549999999999999">
      <c r="M64" s="1216"/>
      <c r="N64" s="1216"/>
      <c r="O64" s="593"/>
      <c r="P64" s="1216"/>
      <c r="Q64" s="1216"/>
      <c r="R64" s="1211"/>
      <c r="S64" s="1211"/>
      <c r="BD64" s="1211"/>
      <c r="BE64" s="1211"/>
      <c r="BF64" s="1211"/>
      <c r="BG64" s="1211"/>
      <c r="BH64" s="1211"/>
      <c r="BI64" s="1211">
        <v>11</v>
      </c>
    </row>
    <row customHeight="1" ht="14.699999999999998">
      <c r="O65" s="593"/>
      <c r="S65" s="130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211">
        <v>14</v>
      </c>
    </row>
    <row customHeight="1" ht="14.699999999999998">
      <c r="O66" s="593"/>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1536"/>
      <c r="AV66" s="1536"/>
      <c r="AW66" s="1536"/>
      <c r="AX66" s="1536"/>
      <c r="AY66" s="1536"/>
      <c r="AZ66" s="1536"/>
      <c r="BA66" s="1536"/>
      <c r="BB66" s="1536"/>
      <c r="BC66" s="1536"/>
      <c r="BI66" s="1211">
        <v>14</v>
      </c>
    </row>
    <row customHeight="1" ht="14.699999999999998">
      <c r="O67" s="593"/>
      <c r="S67" s="130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211">
        <v>14</v>
      </c>
    </row>
    <row customHeight="1" ht="14.699999999999998">
      <c r="O68" s="593"/>
      <c r="BI68" s="1211">
        <v>14</v>
      </c>
    </row>
    <row customHeight="1" ht="14.25" hidden="1">
      <c r="A69" s="1216" t="s">
        <v>86</v>
      </c>
      <c r="B69" s="1216">
        <v>0</v>
      </c>
      <c r="C69" s="1216">
        <v>0</v>
      </c>
      <c r="D69" s="1216">
        <v>0</v>
      </c>
      <c r="E69" s="1216">
        <v>0</v>
      </c>
      <c r="F69" s="1216">
        <v>0</v>
      </c>
      <c r="G69" s="1216">
        <v>0</v>
      </c>
      <c r="H69" s="1216">
        <v>0</v>
      </c>
      <c r="I69" s="1216">
        <v>0</v>
      </c>
      <c r="J69" s="1216">
        <v>0</v>
      </c>
      <c r="K69" s="1216">
        <v>0</v>
      </c>
      <c r="L69" s="1534">
        <v>0</v>
      </c>
      <c r="M69" s="1418">
        <v>0</v>
      </c>
      <c r="N69" s="1418">
        <v>0</v>
      </c>
      <c r="O69" s="1418">
        <v>0</v>
      </c>
      <c r="P69" s="1418">
        <v>0</v>
      </c>
      <c r="Q69" s="1427">
        <v>0</v>
      </c>
      <c r="R69" s="400">
        <v>3</v>
      </c>
      <c r="S69" s="637">
        <v>12</v>
      </c>
      <c r="T69" s="1211">
        <v>31</v>
      </c>
      <c r="U69" s="1211">
        <v>0</v>
      </c>
      <c r="V69" s="1211">
        <v>0</v>
      </c>
      <c r="W69" s="1211">
        <v>0</v>
      </c>
      <c r="X69" s="1211">
        <v>0</v>
      </c>
      <c r="Y69" s="1211">
        <v>0</v>
      </c>
      <c r="Z69" s="1211">
        <v>0</v>
      </c>
      <c r="AA69" s="1211">
        <v>0</v>
      </c>
      <c r="AB69" s="1211">
        <v>0</v>
      </c>
      <c r="AC69" s="1211">
        <v>0</v>
      </c>
      <c r="AD69" s="1211">
        <v>3</v>
      </c>
      <c r="AE69" s="1211">
        <v>3</v>
      </c>
      <c r="AF69" s="1211">
        <v>3</v>
      </c>
      <c r="AG69" s="1211">
        <v>24</v>
      </c>
      <c r="AH69" s="1211">
        <v>3</v>
      </c>
      <c r="AI69" s="1211">
        <v>3</v>
      </c>
      <c r="AJ69" s="1211">
        <v>3</v>
      </c>
      <c r="AK69" s="1211">
        <v>24</v>
      </c>
      <c r="AL69" s="1211">
        <v>3</v>
      </c>
      <c r="AM69" s="1211">
        <v>3</v>
      </c>
      <c r="AN69" s="1211">
        <v>3</v>
      </c>
      <c r="AO69" s="1211">
        <v>18</v>
      </c>
      <c r="AP69" s="1211">
        <v>3</v>
      </c>
      <c r="AQ69" s="1211">
        <v>3</v>
      </c>
      <c r="AR69" s="1211">
        <v>3</v>
      </c>
      <c r="AS69" s="1211">
        <v>18</v>
      </c>
      <c r="AT69" s="1211">
        <v>21</v>
      </c>
      <c r="AU69" s="1211">
        <v>21</v>
      </c>
      <c r="AV69" s="1211">
        <v>21</v>
      </c>
      <c r="AW69" s="1211">
        <v>21</v>
      </c>
      <c r="AX69" s="1211">
        <v>11</v>
      </c>
      <c r="AY69" s="1211">
        <v>3</v>
      </c>
      <c r="AZ69" s="1211">
        <v>11</v>
      </c>
      <c r="BA69" s="1211">
        <v>0</v>
      </c>
      <c r="BB69" s="1211">
        <v>4</v>
      </c>
      <c r="BC69" s="1211">
        <v>115</v>
      </c>
      <c r="BD69" s="567">
        <v>10</v>
      </c>
      <c r="BE69" s="567">
        <v>10</v>
      </c>
      <c r="BF69" s="567">
        <v>10</v>
      </c>
      <c r="BG69" s="567">
        <v>10</v>
      </c>
      <c r="BH69" s="567">
        <v>10</v>
      </c>
      <c r="BI69" s="121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F3CD8E-6B9E-FCB8-4F9C-EA3ED232051D}" mc:Ignorable="x14ac xr xr2 xr3">
  <sheetPr>
    <tabColor rgb="FFCCCCFF"/>
    <pageSetUpPr fitToPage="1"/>
  </sheetPr>
  <dimension ref="A1:AC77"/>
  <sheetViews>
    <sheetView topLeftCell="A1" showGridLines="0" zoomScale="90" workbookViewId="0">
      <selection activeCell="G60" sqref="G60"/>
    </sheetView>
  </sheetViews>
  <sheetFormatPr defaultColWidth="9.140625" customHeight="1" defaultRowHeight="14.25"/>
  <cols>
    <col min="1" max="1" style="2774" width="8.00390625" hidden="1" customWidth="1"/>
    <col min="2" max="2" style="2850" width="6.00390625" hidden="1" customWidth="1"/>
    <col min="3" max="3" style="2774" width="3.00390625" customWidth="1"/>
    <col min="4" max="4" style="2949" width="3.00390625" customWidth="1"/>
    <col min="5" max="5" style="2774" width="6.00390625" customWidth="1"/>
    <col min="6" max="6" style="2774" width="2.7109375" hidden="1" customWidth="1"/>
    <col min="7" max="7" style="2774" width="46.7109375" customWidth="1"/>
    <col min="8" max="8" style="2774" width="42.00390625" customWidth="1"/>
    <col min="9" max="9" style="2774" width="14.00390625" customWidth="1"/>
    <col min="10" max="10" style="2933" width="3.00390625" customWidth="1"/>
    <col min="11" max="13" style="2933" width="9.140625" hidden="1"/>
    <col min="14" max="14" style="2933" width="25.7109375" hidden="1" customWidth="1"/>
    <col min="15" max="15" style="2933" width="14.421875" hidden="1" customWidth="1"/>
    <col min="16" max="19" style="2875" width="9.140625" hidden="1"/>
    <col min="20" max="27" style="2774" width="9.140625" hidden="1"/>
    <col min="28" max="28" style="2774" width="8.00390625" customWidth="1"/>
    <col min="29" max="29" style="2774" width="9.140625" hidden="1"/>
  </cols>
  <sheetData>
    <row s="2851" customFormat="1" customHeight="1" ht="5.25" hidden="1">
      <c r="A1" s="552"/>
      <c r="B1" s="567"/>
      <c r="C1" s="567"/>
      <c r="D1" s="277"/>
      <c r="F1" s="567"/>
      <c r="G1" s="303" t="s">
        <v>87</v>
      </c>
      <c r="H1" s="550" t="s">
        <v>88</v>
      </c>
      <c r="I1" s="283" t="s">
        <v>89</v>
      </c>
      <c r="J1" s="303" t="s">
        <v>87</v>
      </c>
      <c r="K1" s="303"/>
      <c r="L1" s="303"/>
      <c r="M1" s="303"/>
      <c r="N1" s="304"/>
      <c r="O1" s="303"/>
      <c r="P1" s="303"/>
      <c r="Q1" s="303"/>
      <c r="R1" s="303"/>
      <c r="S1" s="303"/>
      <c r="T1" s="283"/>
      <c r="U1" s="283"/>
      <c r="V1" s="283"/>
      <c r="W1" s="283"/>
      <c r="X1" s="283"/>
      <c r="Y1" s="283"/>
      <c r="Z1" s="283"/>
      <c r="AA1" s="283"/>
      <c r="AB1" s="283"/>
      <c r="AC1" s="208" t="s">
        <v>14</v>
      </c>
    </row>
    <row s="2860" customFormat="1" customHeight="1" ht="11.25">
      <c r="A2" s="887"/>
      <c r="B2" s="284"/>
      <c r="C2" s="284"/>
      <c r="D2" s="285"/>
      <c r="E2" s="284"/>
      <c r="F2" s="284"/>
      <c r="G2" s="284"/>
      <c r="H2" s="284"/>
      <c r="I2" s="284"/>
      <c r="J2" s="303"/>
      <c r="K2" s="303"/>
      <c r="L2" s="303"/>
      <c r="M2" s="303"/>
      <c r="N2" s="304"/>
      <c r="O2" s="303"/>
      <c r="P2" s="286"/>
      <c r="Q2" s="286"/>
      <c r="R2" s="286"/>
      <c r="S2" s="286"/>
      <c r="T2" s="285"/>
      <c r="U2" s="285"/>
      <c r="V2" s="285"/>
      <c r="W2" s="285"/>
      <c r="X2" s="285"/>
      <c r="Y2" s="285"/>
      <c r="Z2" s="285"/>
      <c r="AA2" s="285"/>
      <c r="AB2" s="285"/>
      <c r="AC2" s="287">
        <v>11</v>
      </c>
    </row>
    <row s="2866" customFormat="1" customHeight="1" ht="3">
      <c r="A3" s="814"/>
      <c r="B3" s="473"/>
      <c r="C3" s="814"/>
      <c r="D3" s="220"/>
      <c r="E3" s="159"/>
      <c r="F3" s="565"/>
      <c r="G3" s="159"/>
      <c r="H3" s="159"/>
      <c r="I3" s="222"/>
      <c r="J3" s="303"/>
      <c r="K3" s="211"/>
      <c r="L3" s="211"/>
      <c r="M3" s="211"/>
      <c r="N3" s="282"/>
      <c r="O3" s="211"/>
      <c r="P3" s="281"/>
      <c r="Q3" s="281"/>
      <c r="R3" s="281"/>
      <c r="S3" s="281"/>
      <c r="AC3" s="172">
        <v>3</v>
      </c>
    </row>
    <row s="2866" customFormat="1" customHeight="1" ht="27.299999999999997">
      <c r="A4" s="814"/>
      <c r="B4" s="473"/>
      <c r="C4" s="814"/>
      <c r="D4" s="220"/>
      <c r="E4" s="2156" t="str">
        <f>NameTemplatesInListMO</f>
        <v>Перечень муниципальных районов и муниципальных образований (территорий действия тарифа)</v>
      </c>
      <c r="F4" s="2156"/>
      <c r="G4" s="2156"/>
      <c r="H4" s="2156"/>
      <c r="I4" s="2156"/>
      <c r="J4" s="303"/>
      <c r="K4" s="211"/>
      <c r="L4" s="211"/>
      <c r="M4" s="211"/>
      <c r="N4" s="282"/>
      <c r="O4" s="211"/>
      <c r="P4" s="281"/>
      <c r="Q4" s="281"/>
      <c r="R4" s="281"/>
      <c r="S4" s="281"/>
      <c r="AC4" s="172">
        <v>26</v>
      </c>
    </row>
    <row s="2866" customFormat="1" customHeight="1" ht="3">
      <c r="A5" s="814"/>
      <c r="B5" s="473"/>
      <c r="C5" s="814"/>
      <c r="D5" s="220"/>
      <c r="E5" s="159"/>
      <c r="F5" s="565"/>
      <c r="G5" s="223"/>
      <c r="H5" s="223"/>
      <c r="I5" s="224"/>
      <c r="J5" s="211"/>
      <c r="K5" s="211"/>
      <c r="L5" s="211"/>
      <c r="M5" s="211"/>
      <c r="N5" s="282"/>
      <c r="O5" s="211"/>
      <c r="P5" s="281"/>
      <c r="Q5" s="281"/>
      <c r="R5" s="281"/>
      <c r="S5" s="281"/>
      <c r="AC5" s="172">
        <v>3</v>
      </c>
    </row>
    <row s="2866" customFormat="1" customHeight="1" ht="20.25" hidden="1">
      <c r="A6" s="893"/>
      <c r="B6" s="889"/>
      <c r="C6" s="225"/>
      <c r="D6" s="220"/>
      <c r="E6" s="835"/>
      <c r="F6" s="835"/>
      <c r="G6" s="223"/>
      <c r="H6" s="226"/>
      <c r="I6" s="226"/>
      <c r="J6" s="211"/>
      <c r="K6" s="211"/>
      <c r="L6" s="211"/>
      <c r="M6" s="211"/>
      <c r="N6" s="282"/>
      <c r="O6" s="211"/>
      <c r="P6" s="281"/>
      <c r="Q6" s="281"/>
      <c r="R6" s="281"/>
      <c r="S6" s="281"/>
      <c r="AC6" s="172">
        <v>0</v>
      </c>
    </row>
    <row customHeight="1" ht="25.5" hidden="1">
      <c r="AC7" s="139">
        <v>0</v>
      </c>
    </row>
    <row s="2866" customFormat="1" customHeight="1" ht="14.699999999999998">
      <c r="A8" s="814"/>
      <c r="B8" s="473"/>
      <c r="C8" s="814"/>
      <c r="D8" s="220"/>
      <c r="E8" s="2157" t="s">
        <v>90</v>
      </c>
      <c r="F8" s="2158"/>
      <c r="G8" s="2159"/>
      <c r="H8" s="2160" t="s">
        <v>91</v>
      </c>
      <c r="I8" s="2160"/>
      <c r="J8" s="211"/>
      <c r="K8" s="211"/>
      <c r="L8" s="211"/>
      <c r="M8" s="211"/>
      <c r="N8" s="282"/>
      <c r="O8" s="211"/>
      <c r="P8" s="281"/>
      <c r="Q8" s="281"/>
      <c r="R8" s="281"/>
      <c r="S8" s="281"/>
      <c r="AC8" s="172">
        <v>14</v>
      </c>
    </row>
    <row s="2866" customFormat="1" customHeight="1" ht="21">
      <c r="A9" s="814"/>
      <c r="B9" s="473"/>
      <c r="C9" s="814"/>
      <c r="D9" s="220"/>
      <c r="E9" s="833" t="s">
        <v>92</v>
      </c>
      <c r="F9" s="833"/>
      <c r="G9" s="228" t="s">
        <v>93</v>
      </c>
      <c r="H9" s="228" t="s">
        <v>93</v>
      </c>
      <c r="I9" s="228" t="s">
        <v>89</v>
      </c>
      <c r="J9" s="211"/>
      <c r="K9" s="211"/>
      <c r="L9" s="211"/>
      <c r="M9" s="211"/>
      <c r="N9" s="282"/>
      <c r="O9" s="211"/>
      <c r="P9" s="281"/>
      <c r="Q9" s="281"/>
      <c r="R9" s="281"/>
      <c r="S9" s="281"/>
      <c r="AC9" s="172">
        <v>20</v>
      </c>
    </row>
    <row customHeight="1" ht="11.549999999999999">
      <c r="D10" s="232"/>
      <c r="E10" s="834" t="s">
        <v>94</v>
      </c>
      <c r="F10" s="834"/>
      <c r="G10" s="279" t="s">
        <v>95</v>
      </c>
      <c r="H10" s="279" t="s">
        <v>96</v>
      </c>
      <c r="I10" s="279" t="s">
        <v>97</v>
      </c>
      <c r="J10" s="242"/>
      <c r="K10" s="242"/>
      <c r="L10" s="242"/>
      <c r="M10" s="242"/>
      <c r="N10" s="227"/>
      <c r="O10" s="242"/>
      <c r="P10" s="280"/>
      <c r="Q10" s="280"/>
      <c r="R10" s="280"/>
      <c r="S10" s="280"/>
      <c r="AC10" s="139">
        <v>11</v>
      </c>
    </row>
    <row s="2866" customFormat="1" customHeight="1" ht="1.05">
      <c r="A11" s="814"/>
      <c r="B11" s="473"/>
      <c r="C11" s="814"/>
      <c r="D11" s="220"/>
      <c r="E11" s="846"/>
      <c r="F11" s="846"/>
      <c r="G11" s="229"/>
      <c r="H11" s="229"/>
      <c r="I11" s="231"/>
      <c r="J11" s="305" t="s">
        <v>98</v>
      </c>
      <c r="K11" s="211"/>
      <c r="L11" s="211"/>
      <c r="M11" s="211" t="s">
        <v>99</v>
      </c>
      <c r="N11" s="282" t="s">
        <v>100</v>
      </c>
      <c r="O11" s="211" t="s">
        <v>101</v>
      </c>
      <c r="P11" s="281"/>
      <c r="Q11" s="281"/>
      <c r="R11" s="281"/>
      <c r="S11" s="281"/>
      <c r="AC11" s="172">
        <v>1</v>
      </c>
    </row>
    <row s="2866" customFormat="1" customHeight="1" ht="15">
      <c r="A12" s="2155">
        <v>1</v>
      </c>
      <c r="B12" s="473"/>
      <c r="C12" s="814"/>
      <c r="D12" s="838"/>
      <c r="E12" s="275">
        <f>A12</f>
        <v>1</v>
      </c>
      <c r="F12" s="858" t="s">
        <v>102</v>
      </c>
      <c r="G12" s="596" t="str">
        <f>"Территория "&amp;E12</f>
        <v>Территория 1</v>
      </c>
      <c r="H12" s="848"/>
      <c r="I12" s="848"/>
      <c r="J12" s="845"/>
      <c r="K12" s="556"/>
      <c r="L12" s="556"/>
      <c r="M12" s="556"/>
      <c r="N12" s="282"/>
      <c r="O12" s="556"/>
      <c r="P12" s="281"/>
      <c r="Q12" s="281"/>
      <c r="R12" s="281"/>
      <c r="S12" s="281"/>
      <c r="AC12" s="563">
        <v>14</v>
      </c>
    </row>
    <row s="2911" customFormat="1" customHeight="1" ht="15.75">
      <c r="A13" s="2155"/>
      <c r="B13" s="473">
        <v>1</v>
      </c>
      <c r="C13" s="473"/>
      <c r="D13" s="856"/>
      <c r="E13" s="836" t="str">
        <f>A12&amp;"."&amp;B13</f>
        <v>1.1</v>
      </c>
      <c r="F13" s="851" t="s">
        <v>103</v>
      </c>
      <c r="G13" s="849" t="s">
        <v>104</v>
      </c>
      <c r="H13" s="849" t="s">
        <v>105</v>
      </c>
      <c r="I13" s="847" t="s">
        <v>106</v>
      </c>
      <c r="J13" s="556">
        <f>MERGEVALUE(G13)</f>
      </c>
      <c r="K13" s="567"/>
      <c r="L13" s="567"/>
      <c r="M13" s="556" t="str">
        <f t="array" ref="M13:M13">IF(ISERROR(MATCH(MID(N13,1,250),MID(note_ter,1,250),0)),"n","y")</f>
        <v>n</v>
      </c>
      <c r="N13" s="567"/>
      <c r="O13" s="556" t="str">
        <f>H13&amp;"("&amp;I13&amp;")"</f>
        <v>Бесединский сельсовет(38620408)</v>
      </c>
      <c r="P13" s="473"/>
      <c r="Q13" s="473"/>
      <c r="R13" s="476"/>
      <c r="S13" s="473"/>
      <c r="T13" s="473"/>
      <c r="U13" s="473"/>
      <c r="V13" s="478"/>
      <c r="W13" s="478"/>
      <c r="X13" s="475"/>
      <c r="Y13" s="475"/>
      <c r="Z13" s="475"/>
      <c r="AA13" s="475"/>
      <c r="AB13" s="475"/>
      <c r="AC13" s="479">
        <v>15</v>
      </c>
    </row>
    <row s="2911" customFormat="1" customHeight="1" ht="15.75">
      <c r="A14" s="2155"/>
      <c r="B14" s="473"/>
      <c r="C14" s="468"/>
      <c r="D14" s="857"/>
      <c r="E14" s="477"/>
      <c r="F14" s="233"/>
      <c r="G14" s="471" t="s">
        <v>107</v>
      </c>
      <c r="H14" s="243"/>
      <c r="I14" s="480"/>
      <c r="J14" s="567"/>
      <c r="K14" s="567"/>
      <c r="L14" s="567"/>
      <c r="M14" s="567"/>
      <c r="N14" s="556"/>
      <c r="O14" s="567"/>
      <c r="P14" s="473"/>
      <c r="Q14" s="473"/>
      <c r="R14" s="476"/>
      <c r="S14" s="473"/>
      <c r="T14" s="473"/>
      <c r="U14" s="473"/>
      <c r="V14" s="478"/>
      <c r="W14" s="478"/>
      <c r="X14" s="475"/>
      <c r="Y14" s="475"/>
      <c r="Z14" s="475"/>
      <c r="AA14" s="475"/>
      <c r="AB14" s="475"/>
      <c r="AC14" s="479">
        <v>15</v>
      </c>
    </row>
    <row customHeight="1" ht="15">
      <c r="A15" s="2273" t="s">
        <v>108</v>
      </c>
      <c r="B15" s="1216"/>
      <c r="C15" s="857" t="s">
        <v>109</v>
      </c>
      <c r="D15" s="1874"/>
      <c r="E15" s="1861" t="str">
        <f>A15</f>
        <v>2</v>
      </c>
      <c r="F15" s="860" t="s">
        <v>110</v>
      </c>
      <c r="G15" s="596" t="str">
        <f>"Территория "&amp;E15</f>
        <v>Территория 2</v>
      </c>
      <c r="H15" s="848"/>
      <c r="I15" s="848"/>
      <c r="J15" s="845"/>
      <c r="K15" s="1680"/>
      <c r="L15" s="1680"/>
      <c r="M15" s="1680"/>
      <c r="N15" s="282"/>
      <c r="O15" s="1680"/>
      <c r="P15" s="281"/>
      <c r="Q15" s="281"/>
      <c r="R15" s="281"/>
      <c r="S15" s="281"/>
      <c r="T15" s="2934"/>
      <c r="U15" s="2934"/>
      <c r="V15" s="2934"/>
      <c r="W15" s="2934"/>
      <c r="X15" s="2934"/>
      <c r="Y15" s="2934"/>
      <c r="Z15" s="2934"/>
      <c r="AA15" s="2934"/>
      <c r="AB15" s="2934"/>
      <c r="AC15" s="2934"/>
    </row>
    <row customHeight="1" ht="15">
      <c r="A16" s="2273"/>
      <c r="B16" s="1216">
        <v>1</v>
      </c>
      <c r="C16" s="1216"/>
      <c r="D16" s="856"/>
      <c r="E16" s="1869" t="str">
        <f>A15&amp;"."&amp;B16</f>
        <v>2.1</v>
      </c>
      <c r="F16" s="859" t="s">
        <v>111</v>
      </c>
      <c r="G16" s="849" t="s">
        <v>104</v>
      </c>
      <c r="H16" s="849" t="s">
        <v>112</v>
      </c>
      <c r="I16" s="847" t="s">
        <v>113</v>
      </c>
      <c r="J16" s="1680"/>
      <c r="K16" s="1692"/>
      <c r="L16" s="1692"/>
      <c r="M16" s="1680" t="str">
        <f t="array" ref="M16:M16">IF(ISERROR(MATCH(MID(N16,1,250),MID(note_ter,1,250),0)),"n","y")</f>
        <v>n</v>
      </c>
      <c r="N16" s="1692"/>
      <c r="O16" s="1680" t="str">
        <f>H16&amp;"("&amp;I16&amp;")"</f>
        <v>Брежневский сельсовет(38620412)</v>
      </c>
      <c r="P16" s="1216"/>
      <c r="Q16" s="1216"/>
      <c r="R16" s="476"/>
      <c r="S16" s="1216"/>
      <c r="T16" s="1216"/>
      <c r="U16" s="1216"/>
      <c r="V16" s="478"/>
      <c r="W16" s="478"/>
      <c r="X16" s="475"/>
      <c r="Y16" s="475"/>
      <c r="Z16" s="475"/>
      <c r="AA16" s="475"/>
      <c r="AB16" s="475"/>
      <c r="AC16" s="475"/>
    </row>
    <row customHeight="1" ht="15">
      <c r="A17" s="2273"/>
      <c r="B17" s="1216"/>
      <c r="C17" s="468"/>
      <c r="D17" s="857"/>
      <c r="E17" s="477"/>
      <c r="F17" s="233"/>
      <c r="G17" s="471" t="s">
        <v>107</v>
      </c>
      <c r="H17" s="243"/>
      <c r="I17" s="480"/>
      <c r="J17" s="1692"/>
      <c r="K17" s="1692"/>
      <c r="L17" s="1692"/>
      <c r="M17" s="1692"/>
      <c r="N17" s="1680"/>
      <c r="O17" s="1692"/>
      <c r="P17" s="1216"/>
      <c r="Q17" s="1216"/>
      <c r="R17" s="476"/>
      <c r="S17" s="1216"/>
      <c r="T17" s="1216"/>
      <c r="U17" s="1216"/>
      <c r="V17" s="478"/>
      <c r="W17" s="478"/>
      <c r="X17" s="475"/>
      <c r="Y17" s="475"/>
      <c r="Z17" s="475"/>
      <c r="AA17" s="475"/>
      <c r="AB17" s="475"/>
      <c r="AC17" s="475"/>
    </row>
    <row customHeight="1" ht="15">
      <c r="A18" s="2273" t="s">
        <v>94</v>
      </c>
      <c r="B18" s="1216"/>
      <c r="C18" s="857" t="s">
        <v>109</v>
      </c>
      <c r="D18" s="1874"/>
      <c r="E18" s="1861" t="str">
        <f>A18</f>
        <v>3</v>
      </c>
      <c r="F18" s="860" t="s">
        <v>114</v>
      </c>
      <c r="G18" s="596" t="str">
        <f>"Территория "&amp;E18</f>
        <v>Территория 3</v>
      </c>
      <c r="H18" s="848"/>
      <c r="I18" s="848"/>
      <c r="J18" s="845"/>
      <c r="K18" s="1680"/>
      <c r="L18" s="1680"/>
      <c r="M18" s="1680"/>
      <c r="N18" s="282"/>
      <c r="O18" s="1680"/>
      <c r="P18" s="281"/>
      <c r="Q18" s="281"/>
      <c r="R18" s="281"/>
      <c r="S18" s="281"/>
      <c r="T18" s="2934"/>
      <c r="U18" s="2934"/>
      <c r="V18" s="2934"/>
      <c r="W18" s="2934"/>
      <c r="X18" s="2934"/>
      <c r="Y18" s="2934"/>
      <c r="Z18" s="2934"/>
      <c r="AA18" s="2934"/>
      <c r="AB18" s="2934"/>
      <c r="AC18" s="2934"/>
    </row>
    <row customHeight="1" ht="15">
      <c r="A19" s="2273"/>
      <c r="B19" s="1216">
        <v>1</v>
      </c>
      <c r="C19" s="1216"/>
      <c r="D19" s="856"/>
      <c r="E19" s="1869" t="str">
        <f>A18&amp;"."&amp;B19</f>
        <v>3.1</v>
      </c>
      <c r="F19" s="859" t="s">
        <v>115</v>
      </c>
      <c r="G19" s="849" t="s">
        <v>104</v>
      </c>
      <c r="H19" s="849" t="s">
        <v>116</v>
      </c>
      <c r="I19" s="847" t="s">
        <v>117</v>
      </c>
      <c r="J19" s="1680"/>
      <c r="K19" s="1692"/>
      <c r="L19" s="1692"/>
      <c r="M19" s="1680" t="str">
        <f t="array" ref="M19:M19">IF(ISERROR(MATCH(MID(N19,1,250),MID(note_ter,1,250),0)),"n","y")</f>
        <v>n</v>
      </c>
      <c r="N19" s="1692"/>
      <c r="O19" s="1680" t="str">
        <f>H19&amp;"("&amp;I19&amp;")"</f>
        <v>Винниковский сельсовет(38620420)</v>
      </c>
      <c r="P19" s="1216"/>
      <c r="Q19" s="1216"/>
      <c r="R19" s="476"/>
      <c r="S19" s="1216"/>
      <c r="T19" s="1216"/>
      <c r="U19" s="1216"/>
      <c r="V19" s="478"/>
      <c r="W19" s="478"/>
      <c r="X19" s="475"/>
      <c r="Y19" s="475"/>
      <c r="Z19" s="475"/>
      <c r="AA19" s="475"/>
      <c r="AB19" s="475"/>
      <c r="AC19" s="475"/>
    </row>
    <row customHeight="1" ht="15">
      <c r="A20" s="2273"/>
      <c r="B20" s="1216"/>
      <c r="C20" s="468"/>
      <c r="D20" s="857"/>
      <c r="E20" s="477"/>
      <c r="F20" s="233"/>
      <c r="G20" s="471" t="s">
        <v>107</v>
      </c>
      <c r="H20" s="243"/>
      <c r="I20" s="480"/>
      <c r="J20" s="1692"/>
      <c r="K20" s="1692"/>
      <c r="L20" s="1692"/>
      <c r="M20" s="1692"/>
      <c r="N20" s="1680"/>
      <c r="O20" s="1692"/>
      <c r="P20" s="1216"/>
      <c r="Q20" s="1216"/>
      <c r="R20" s="476"/>
      <c r="S20" s="1216"/>
      <c r="T20" s="1216"/>
      <c r="U20" s="1216"/>
      <c r="V20" s="478"/>
      <c r="W20" s="478"/>
      <c r="X20" s="475"/>
      <c r="Y20" s="475"/>
      <c r="Z20" s="475"/>
      <c r="AA20" s="475"/>
      <c r="AB20" s="475"/>
      <c r="AC20" s="475"/>
    </row>
    <row customHeight="1" ht="15">
      <c r="A21" s="2273" t="s">
        <v>95</v>
      </c>
      <c r="B21" s="1216"/>
      <c r="C21" s="857" t="s">
        <v>109</v>
      </c>
      <c r="D21" s="1874"/>
      <c r="E21" s="1861" t="str">
        <f>A21</f>
        <v>4</v>
      </c>
      <c r="F21" s="860" t="s">
        <v>118</v>
      </c>
      <c r="G21" s="596" t="str">
        <f>"Территория "&amp;E21</f>
        <v>Территория 4</v>
      </c>
      <c r="H21" s="848"/>
      <c r="I21" s="848"/>
      <c r="J21" s="845"/>
      <c r="K21" s="1680"/>
      <c r="L21" s="1680"/>
      <c r="M21" s="1680"/>
      <c r="N21" s="282"/>
      <c r="O21" s="1680"/>
      <c r="P21" s="281"/>
      <c r="Q21" s="281"/>
      <c r="R21" s="281"/>
      <c r="S21" s="281"/>
      <c r="T21" s="2934"/>
      <c r="U21" s="2934"/>
      <c r="V21" s="2934"/>
      <c r="W21" s="2934"/>
      <c r="X21" s="2934"/>
      <c r="Y21" s="2934"/>
      <c r="Z21" s="2934"/>
      <c r="AA21" s="2934"/>
      <c r="AB21" s="2934"/>
      <c r="AC21" s="2934"/>
    </row>
    <row customHeight="1" ht="15">
      <c r="A22" s="2273"/>
      <c r="B22" s="1216">
        <v>1</v>
      </c>
      <c r="C22" s="1216"/>
      <c r="D22" s="856"/>
      <c r="E22" s="1869" t="str">
        <f>A21&amp;"."&amp;B22</f>
        <v>4.1</v>
      </c>
      <c r="F22" s="859" t="s">
        <v>119</v>
      </c>
      <c r="G22" s="849" t="s">
        <v>104</v>
      </c>
      <c r="H22" s="849" t="s">
        <v>120</v>
      </c>
      <c r="I22" s="847" t="s">
        <v>121</v>
      </c>
      <c r="J22" s="1680"/>
      <c r="K22" s="1692"/>
      <c r="L22" s="1692"/>
      <c r="M22" s="1680" t="str">
        <f t="array" ref="M22:M22">IF(ISERROR(MATCH(MID(N22,1,250),MID(note_ter,1,250),0)),"n","y")</f>
        <v>n</v>
      </c>
      <c r="N22" s="1692"/>
      <c r="O22" s="1680" t="str">
        <f>H22&amp;"("&amp;I22&amp;")"</f>
        <v>Ворошневский сельсовет(38620424)</v>
      </c>
      <c r="P22" s="1216"/>
      <c r="Q22" s="1216"/>
      <c r="R22" s="476"/>
      <c r="S22" s="1216"/>
      <c r="T22" s="1216"/>
      <c r="U22" s="1216"/>
      <c r="V22" s="478"/>
      <c r="W22" s="478"/>
      <c r="X22" s="475"/>
      <c r="Y22" s="475"/>
      <c r="Z22" s="475"/>
      <c r="AA22" s="475"/>
      <c r="AB22" s="475"/>
      <c r="AC22" s="475"/>
    </row>
    <row customHeight="1" ht="15">
      <c r="A23" s="2273"/>
      <c r="B23" s="1216"/>
      <c r="C23" s="468"/>
      <c r="D23" s="857"/>
      <c r="E23" s="477"/>
      <c r="F23" s="233"/>
      <c r="G23" s="471" t="s">
        <v>107</v>
      </c>
      <c r="H23" s="243"/>
      <c r="I23" s="480"/>
      <c r="J23" s="1692"/>
      <c r="K23" s="1692"/>
      <c r="L23" s="1692"/>
      <c r="M23" s="1692"/>
      <c r="N23" s="1680"/>
      <c r="O23" s="1692"/>
      <c r="P23" s="1216"/>
      <c r="Q23" s="1216"/>
      <c r="R23" s="476"/>
      <c r="S23" s="1216"/>
      <c r="T23" s="1216"/>
      <c r="U23" s="1216"/>
      <c r="V23" s="478"/>
      <c r="W23" s="478"/>
      <c r="X23" s="475"/>
      <c r="Y23" s="475"/>
      <c r="Z23" s="475"/>
      <c r="AA23" s="475"/>
      <c r="AB23" s="475"/>
      <c r="AC23" s="475"/>
    </row>
    <row customHeight="1" ht="15">
      <c r="A24" s="2273" t="s">
        <v>122</v>
      </c>
      <c r="B24" s="1216"/>
      <c r="C24" s="857" t="s">
        <v>109</v>
      </c>
      <c r="D24" s="1874"/>
      <c r="E24" s="1861" t="str">
        <f>A24</f>
        <v>5</v>
      </c>
      <c r="F24" s="860" t="s">
        <v>123</v>
      </c>
      <c r="G24" s="596" t="str">
        <f>"Территория "&amp;E24</f>
        <v>Территория 5</v>
      </c>
      <c r="H24" s="848"/>
      <c r="I24" s="848"/>
      <c r="J24" s="845"/>
      <c r="K24" s="1680"/>
      <c r="L24" s="1680"/>
      <c r="M24" s="1680"/>
      <c r="N24" s="282"/>
      <c r="O24" s="1680"/>
      <c r="P24" s="281"/>
      <c r="Q24" s="281"/>
      <c r="R24" s="281"/>
      <c r="S24" s="281"/>
      <c r="T24" s="2934"/>
      <c r="U24" s="2934"/>
      <c r="V24" s="2934"/>
      <c r="W24" s="2934"/>
      <c r="X24" s="2934"/>
      <c r="Y24" s="2934"/>
      <c r="Z24" s="2934"/>
      <c r="AA24" s="2934"/>
      <c r="AB24" s="2934"/>
      <c r="AC24" s="2934"/>
    </row>
    <row customHeight="1" ht="15">
      <c r="A25" s="2273"/>
      <c r="B25" s="1216">
        <v>1</v>
      </c>
      <c r="C25" s="1216"/>
      <c r="D25" s="856"/>
      <c r="E25" s="1869" t="str">
        <f>A24&amp;"."&amp;B25</f>
        <v>5.1</v>
      </c>
      <c r="F25" s="859" t="s">
        <v>124</v>
      </c>
      <c r="G25" s="849" t="s">
        <v>104</v>
      </c>
      <c r="H25" s="849" t="s">
        <v>125</v>
      </c>
      <c r="I25" s="847" t="s">
        <v>126</v>
      </c>
      <c r="J25" s="1680"/>
      <c r="K25" s="1692"/>
      <c r="L25" s="1692"/>
      <c r="M25" s="1680" t="str">
        <f t="array" ref="M25:M25">IF(ISERROR(MATCH(MID(N25,1,250),MID(note_ter,1,250),0)),"n","y")</f>
        <v>n</v>
      </c>
      <c r="N25" s="1692"/>
      <c r="O25" s="1680" t="str">
        <f>H25&amp;"("&amp;I25&amp;")"</f>
        <v>Камышинский сельсовет(38620426)</v>
      </c>
      <c r="P25" s="1216"/>
      <c r="Q25" s="1216"/>
      <c r="R25" s="476"/>
      <c r="S25" s="1216"/>
      <c r="T25" s="1216"/>
      <c r="U25" s="1216"/>
      <c r="V25" s="478"/>
      <c r="W25" s="478"/>
      <c r="X25" s="475"/>
      <c r="Y25" s="475"/>
      <c r="Z25" s="475"/>
      <c r="AA25" s="475"/>
      <c r="AB25" s="475"/>
      <c r="AC25" s="475"/>
    </row>
    <row customHeight="1" ht="15">
      <c r="A26" s="2273"/>
      <c r="B26" s="1216"/>
      <c r="C26" s="468"/>
      <c r="D26" s="857"/>
      <c r="E26" s="477"/>
      <c r="F26" s="233"/>
      <c r="G26" s="471" t="s">
        <v>107</v>
      </c>
      <c r="H26" s="243"/>
      <c r="I26" s="480"/>
      <c r="J26" s="1692"/>
      <c r="K26" s="1692"/>
      <c r="L26" s="1692"/>
      <c r="M26" s="1692"/>
      <c r="N26" s="1680"/>
      <c r="O26" s="1692"/>
      <c r="P26" s="1216"/>
      <c r="Q26" s="1216"/>
      <c r="R26" s="476"/>
      <c r="S26" s="1216"/>
      <c r="T26" s="1216"/>
      <c r="U26" s="1216"/>
      <c r="V26" s="478"/>
      <c r="W26" s="478"/>
      <c r="X26" s="475"/>
      <c r="Y26" s="475"/>
      <c r="Z26" s="475"/>
      <c r="AA26" s="475"/>
      <c r="AB26" s="475"/>
      <c r="AC26" s="475"/>
    </row>
    <row customHeight="1" ht="15">
      <c r="A27" s="2273" t="s">
        <v>96</v>
      </c>
      <c r="B27" s="1216"/>
      <c r="C27" s="857" t="s">
        <v>109</v>
      </c>
      <c r="D27" s="1874"/>
      <c r="E27" s="1861" t="str">
        <f>A27</f>
        <v>6</v>
      </c>
      <c r="F27" s="860" t="s">
        <v>127</v>
      </c>
      <c r="G27" s="596" t="str">
        <f>"Территория "&amp;E27</f>
        <v>Территория 6</v>
      </c>
      <c r="H27" s="848"/>
      <c r="I27" s="848"/>
      <c r="J27" s="845"/>
      <c r="K27" s="1680"/>
      <c r="L27" s="1680"/>
      <c r="M27" s="1680"/>
      <c r="N27" s="282"/>
      <c r="O27" s="1680"/>
      <c r="P27" s="281"/>
      <c r="Q27" s="281"/>
      <c r="R27" s="281"/>
      <c r="S27" s="281"/>
      <c r="T27" s="2934"/>
      <c r="U27" s="2934"/>
      <c r="V27" s="2934"/>
      <c r="W27" s="2934"/>
      <c r="X27" s="2934"/>
      <c r="Y27" s="2934"/>
      <c r="Z27" s="2934"/>
      <c r="AA27" s="2934"/>
      <c r="AB27" s="2934"/>
      <c r="AC27" s="2934"/>
    </row>
    <row customHeight="1" ht="15">
      <c r="A28" s="2273"/>
      <c r="B28" s="1216">
        <v>1</v>
      </c>
      <c r="C28" s="1216"/>
      <c r="D28" s="856"/>
      <c r="E28" s="1869" t="str">
        <f>A27&amp;"."&amp;B28</f>
        <v>6.1</v>
      </c>
      <c r="F28" s="859" t="s">
        <v>128</v>
      </c>
      <c r="G28" s="849" t="s">
        <v>104</v>
      </c>
      <c r="H28" s="849" t="s">
        <v>129</v>
      </c>
      <c r="I28" s="847" t="s">
        <v>130</v>
      </c>
      <c r="J28" s="1680"/>
      <c r="K28" s="1692"/>
      <c r="L28" s="1692"/>
      <c r="M28" s="1680" t="str">
        <f t="array" ref="M28:M28">IF(ISERROR(MATCH(MID(N28,1,250),MID(note_ter,1,250),0)),"n","y")</f>
        <v>n</v>
      </c>
      <c r="N28" s="1692"/>
      <c r="O28" s="1680" t="str">
        <f>H28&amp;"("&amp;I28&amp;")"</f>
        <v>Клюквинский сельсовет(38620428)</v>
      </c>
      <c r="P28" s="1216"/>
      <c r="Q28" s="1216"/>
      <c r="R28" s="476"/>
      <c r="S28" s="1216"/>
      <c r="T28" s="1216"/>
      <c r="U28" s="1216"/>
      <c r="V28" s="478"/>
      <c r="W28" s="478"/>
      <c r="X28" s="475"/>
      <c r="Y28" s="475"/>
      <c r="Z28" s="475"/>
      <c r="AA28" s="475"/>
      <c r="AB28" s="475"/>
      <c r="AC28" s="475"/>
    </row>
    <row customHeight="1" ht="15">
      <c r="A29" s="2273"/>
      <c r="B29" s="1216"/>
      <c r="C29" s="468"/>
      <c r="D29" s="857"/>
      <c r="E29" s="477"/>
      <c r="F29" s="233"/>
      <c r="G29" s="471" t="s">
        <v>107</v>
      </c>
      <c r="H29" s="243"/>
      <c r="I29" s="480"/>
      <c r="J29" s="1692"/>
      <c r="K29" s="1692"/>
      <c r="L29" s="1692"/>
      <c r="M29" s="1692"/>
      <c r="N29" s="1680"/>
      <c r="O29" s="1692"/>
      <c r="P29" s="1216"/>
      <c r="Q29" s="1216"/>
      <c r="R29" s="476"/>
      <c r="S29" s="1216"/>
      <c r="T29" s="1216"/>
      <c r="U29" s="1216"/>
      <c r="V29" s="478"/>
      <c r="W29" s="478"/>
      <c r="X29" s="475"/>
      <c r="Y29" s="475"/>
      <c r="Z29" s="475"/>
      <c r="AA29" s="475"/>
      <c r="AB29" s="475"/>
      <c r="AC29" s="475"/>
    </row>
    <row customHeight="1" ht="15">
      <c r="A30" s="2273" t="s">
        <v>97</v>
      </c>
      <c r="B30" s="1216"/>
      <c r="C30" s="857" t="s">
        <v>109</v>
      </c>
      <c r="D30" s="1874"/>
      <c r="E30" s="1861" t="str">
        <f>A30</f>
        <v>7</v>
      </c>
      <c r="F30" s="860" t="s">
        <v>131</v>
      </c>
      <c r="G30" s="596" t="str">
        <f>"Территория "&amp;E30</f>
        <v>Территория 7</v>
      </c>
      <c r="H30" s="848"/>
      <c r="I30" s="848"/>
      <c r="J30" s="845"/>
      <c r="K30" s="1680"/>
      <c r="L30" s="1680"/>
      <c r="M30" s="1680"/>
      <c r="N30" s="282"/>
      <c r="O30" s="1680"/>
      <c r="P30" s="281"/>
      <c r="Q30" s="281"/>
      <c r="R30" s="281"/>
      <c r="S30" s="281"/>
      <c r="T30" s="2934"/>
      <c r="U30" s="2934"/>
      <c r="V30" s="2934"/>
      <c r="W30" s="2934"/>
      <c r="X30" s="2934"/>
      <c r="Y30" s="2934"/>
      <c r="Z30" s="2934"/>
      <c r="AA30" s="2934"/>
      <c r="AB30" s="2934"/>
      <c r="AC30" s="2934"/>
    </row>
    <row customHeight="1" ht="15">
      <c r="A31" s="2273"/>
      <c r="B31" s="1216">
        <v>1</v>
      </c>
      <c r="C31" s="1216"/>
      <c r="D31" s="856"/>
      <c r="E31" s="1869" t="str">
        <f>A30&amp;"."&amp;B31</f>
        <v>7.1</v>
      </c>
      <c r="F31" s="859" t="s">
        <v>132</v>
      </c>
      <c r="G31" s="849" t="s">
        <v>104</v>
      </c>
      <c r="H31" s="849" t="s">
        <v>133</v>
      </c>
      <c r="I31" s="847" t="s">
        <v>134</v>
      </c>
      <c r="J31" s="1680"/>
      <c r="K31" s="1692"/>
      <c r="L31" s="1692"/>
      <c r="M31" s="1680" t="str">
        <f t="array" ref="M31:M31">IF(ISERROR(MATCH(MID(N31,1,250),MID(note_ter,1,250),0)),"n","y")</f>
        <v>n</v>
      </c>
      <c r="N31" s="1692"/>
      <c r="O31" s="1680" t="str">
        <f>H31&amp;"("&amp;I31&amp;")"</f>
        <v>Лебяженский сельсовет(38620432)</v>
      </c>
      <c r="P31" s="1216"/>
      <c r="Q31" s="1216"/>
      <c r="R31" s="476"/>
      <c r="S31" s="1216"/>
      <c r="T31" s="1216"/>
      <c r="U31" s="1216"/>
      <c r="V31" s="478"/>
      <c r="W31" s="478"/>
      <c r="X31" s="475"/>
      <c r="Y31" s="475"/>
      <c r="Z31" s="475"/>
      <c r="AA31" s="475"/>
      <c r="AB31" s="475"/>
      <c r="AC31" s="475"/>
    </row>
    <row customHeight="1" ht="15">
      <c r="A32" s="2273"/>
      <c r="B32" s="1216"/>
      <c r="C32" s="468"/>
      <c r="D32" s="857"/>
      <c r="E32" s="477"/>
      <c r="F32" s="233"/>
      <c r="G32" s="471" t="s">
        <v>107</v>
      </c>
      <c r="H32" s="243"/>
      <c r="I32" s="480"/>
      <c r="J32" s="1692"/>
      <c r="K32" s="1692"/>
      <c r="L32" s="1692"/>
      <c r="M32" s="1692"/>
      <c r="N32" s="1680"/>
      <c r="O32" s="1692"/>
      <c r="P32" s="1216"/>
      <c r="Q32" s="1216"/>
      <c r="R32" s="476"/>
      <c r="S32" s="1216"/>
      <c r="T32" s="1216"/>
      <c r="U32" s="1216"/>
      <c r="V32" s="478"/>
      <c r="W32" s="478"/>
      <c r="X32" s="475"/>
      <c r="Y32" s="475"/>
      <c r="Z32" s="475"/>
      <c r="AA32" s="475"/>
      <c r="AB32" s="475"/>
      <c r="AC32" s="475"/>
    </row>
    <row customHeight="1" ht="15">
      <c r="A33" s="2273" t="s">
        <v>135</v>
      </c>
      <c r="B33" s="1216"/>
      <c r="C33" s="857" t="s">
        <v>109</v>
      </c>
      <c r="D33" s="1874"/>
      <c r="E33" s="1861" t="str">
        <f>A33</f>
        <v>8</v>
      </c>
      <c r="F33" s="860" t="s">
        <v>136</v>
      </c>
      <c r="G33" s="596" t="str">
        <f>"Территория "&amp;E33</f>
        <v>Территория 8</v>
      </c>
      <c r="H33" s="848"/>
      <c r="I33" s="848"/>
      <c r="J33" s="845"/>
      <c r="K33" s="1680"/>
      <c r="L33" s="1680"/>
      <c r="M33" s="1680"/>
      <c r="N33" s="282"/>
      <c r="O33" s="1680"/>
      <c r="P33" s="281"/>
      <c r="Q33" s="281"/>
      <c r="R33" s="281"/>
      <c r="S33" s="281"/>
      <c r="T33" s="2934"/>
      <c r="U33" s="2934"/>
      <c r="V33" s="2934"/>
      <c r="W33" s="2934"/>
      <c r="X33" s="2934"/>
      <c r="Y33" s="2934"/>
      <c r="Z33" s="2934"/>
      <c r="AA33" s="2934"/>
      <c r="AB33" s="2934"/>
      <c r="AC33" s="2934"/>
    </row>
    <row customHeight="1" ht="15">
      <c r="A34" s="2273"/>
      <c r="B34" s="1216">
        <v>1</v>
      </c>
      <c r="C34" s="1216"/>
      <c r="D34" s="856"/>
      <c r="E34" s="1869" t="str">
        <f>A33&amp;"."&amp;B34</f>
        <v>8.1</v>
      </c>
      <c r="F34" s="859" t="s">
        <v>137</v>
      </c>
      <c r="G34" s="849" t="s">
        <v>104</v>
      </c>
      <c r="H34" s="849" t="s">
        <v>138</v>
      </c>
      <c r="I34" s="847" t="s">
        <v>139</v>
      </c>
      <c r="J34" s="1680"/>
      <c r="K34" s="1692"/>
      <c r="L34" s="1692"/>
      <c r="M34" s="1680" t="str">
        <f t="array" ref="M34:M34">IF(ISERROR(MATCH(MID(N34,1,250),MID(note_ter,1,250),0)),"n","y")</f>
        <v>n</v>
      </c>
      <c r="N34" s="1692"/>
      <c r="O34" s="1680" t="str">
        <f>H34&amp;"("&amp;I34&amp;")"</f>
        <v>Моковский сельсовет(38620436)</v>
      </c>
      <c r="P34" s="1216"/>
      <c r="Q34" s="1216"/>
      <c r="R34" s="476"/>
      <c r="S34" s="1216"/>
      <c r="T34" s="1216"/>
      <c r="U34" s="1216"/>
      <c r="V34" s="478"/>
      <c r="W34" s="478"/>
      <c r="X34" s="475"/>
      <c r="Y34" s="475"/>
      <c r="Z34" s="475"/>
      <c r="AA34" s="475"/>
      <c r="AB34" s="475"/>
      <c r="AC34" s="475"/>
    </row>
    <row customHeight="1" ht="15">
      <c r="A35" s="2273"/>
      <c r="B35" s="1216"/>
      <c r="C35" s="468"/>
      <c r="D35" s="857"/>
      <c r="E35" s="477"/>
      <c r="F35" s="233"/>
      <c r="G35" s="471" t="s">
        <v>107</v>
      </c>
      <c r="H35" s="243"/>
      <c r="I35" s="480"/>
      <c r="J35" s="1692"/>
      <c r="K35" s="1692"/>
      <c r="L35" s="1692"/>
      <c r="M35" s="1692"/>
      <c r="N35" s="1680"/>
      <c r="O35" s="1692"/>
      <c r="P35" s="1216"/>
      <c r="Q35" s="1216"/>
      <c r="R35" s="476"/>
      <c r="S35" s="1216"/>
      <c r="T35" s="1216"/>
      <c r="U35" s="1216"/>
      <c r="V35" s="478"/>
      <c r="W35" s="478"/>
      <c r="X35" s="475"/>
      <c r="Y35" s="475"/>
      <c r="Z35" s="475"/>
      <c r="AA35" s="475"/>
      <c r="AB35" s="475"/>
      <c r="AC35" s="475"/>
    </row>
    <row customHeight="1" ht="15">
      <c r="A36" s="2273" t="s">
        <v>140</v>
      </c>
      <c r="B36" s="1216"/>
      <c r="C36" s="857" t="s">
        <v>109</v>
      </c>
      <c r="D36" s="1874"/>
      <c r="E36" s="1861" t="str">
        <f>A36</f>
        <v>9</v>
      </c>
      <c r="F36" s="860" t="s">
        <v>141</v>
      </c>
      <c r="G36" s="596" t="str">
        <f>"Территория "&amp;E36</f>
        <v>Территория 9</v>
      </c>
      <c r="H36" s="848"/>
      <c r="I36" s="848"/>
      <c r="J36" s="845"/>
      <c r="K36" s="1680"/>
      <c r="L36" s="1680"/>
      <c r="M36" s="1680"/>
      <c r="N36" s="282"/>
      <c r="O36" s="1680"/>
      <c r="P36" s="281"/>
      <c r="Q36" s="281"/>
      <c r="R36" s="281"/>
      <c r="S36" s="281"/>
      <c r="T36" s="2934"/>
      <c r="U36" s="2934"/>
      <c r="V36" s="2934"/>
      <c r="W36" s="2934"/>
      <c r="X36" s="2934"/>
      <c r="Y36" s="2934"/>
      <c r="Z36" s="2934"/>
      <c r="AA36" s="2934"/>
      <c r="AB36" s="2934"/>
      <c r="AC36" s="2934"/>
    </row>
    <row customHeight="1" ht="15">
      <c r="A37" s="2273"/>
      <c r="B37" s="1216">
        <v>1</v>
      </c>
      <c r="C37" s="1216"/>
      <c r="D37" s="856"/>
      <c r="E37" s="1869" t="str">
        <f>A36&amp;"."&amp;B37</f>
        <v>9.1</v>
      </c>
      <c r="F37" s="859" t="s">
        <v>142</v>
      </c>
      <c r="G37" s="849" t="s">
        <v>104</v>
      </c>
      <c r="H37" s="849" t="s">
        <v>143</v>
      </c>
      <c r="I37" s="847" t="s">
        <v>144</v>
      </c>
      <c r="J37" s="1680"/>
      <c r="K37" s="1692"/>
      <c r="L37" s="1692"/>
      <c r="M37" s="1680" t="str">
        <f t="array" ref="M37:M37">IF(ISERROR(MATCH(MID(N37,1,250),MID(note_ter,1,250),0)),"n","y")</f>
        <v>n</v>
      </c>
      <c r="N37" s="1692"/>
      <c r="O37" s="1680" t="str">
        <f>H37&amp;"("&amp;I37&amp;")"</f>
        <v>Нижнемедведицкий сельсовет(38620448)</v>
      </c>
      <c r="P37" s="1216"/>
      <c r="Q37" s="1216"/>
      <c r="R37" s="476"/>
      <c r="S37" s="1216"/>
      <c r="T37" s="1216"/>
      <c r="U37" s="1216"/>
      <c r="V37" s="478"/>
      <c r="W37" s="478"/>
      <c r="X37" s="475"/>
      <c r="Y37" s="475"/>
      <c r="Z37" s="475"/>
      <c r="AA37" s="475"/>
      <c r="AB37" s="475"/>
      <c r="AC37" s="475"/>
    </row>
    <row customHeight="1" ht="15">
      <c r="A38" s="2273"/>
      <c r="B38" s="1216"/>
      <c r="C38" s="468"/>
      <c r="D38" s="857"/>
      <c r="E38" s="477"/>
      <c r="F38" s="233"/>
      <c r="G38" s="471" t="s">
        <v>107</v>
      </c>
      <c r="H38" s="243"/>
      <c r="I38" s="480"/>
      <c r="J38" s="1692"/>
      <c r="K38" s="1692"/>
      <c r="L38" s="1692"/>
      <c r="M38" s="1692"/>
      <c r="N38" s="1680"/>
      <c r="O38" s="1692"/>
      <c r="P38" s="1216"/>
      <c r="Q38" s="1216"/>
      <c r="R38" s="476"/>
      <c r="S38" s="1216"/>
      <c r="T38" s="1216"/>
      <c r="U38" s="1216"/>
      <c r="V38" s="478"/>
      <c r="W38" s="478"/>
      <c r="X38" s="475"/>
      <c r="Y38" s="475"/>
      <c r="Z38" s="475"/>
      <c r="AA38" s="475"/>
      <c r="AB38" s="475"/>
      <c r="AC38" s="475"/>
    </row>
    <row customHeight="1" ht="15">
      <c r="A39" s="2273" t="s">
        <v>145</v>
      </c>
      <c r="B39" s="1216"/>
      <c r="C39" s="857" t="s">
        <v>109</v>
      </c>
      <c r="D39" s="1874"/>
      <c r="E39" s="1861" t="str">
        <f>A39</f>
        <v>10</v>
      </c>
      <c r="F39" s="860" t="s">
        <v>146</v>
      </c>
      <c r="G39" s="596" t="str">
        <f>"Территория "&amp;E39</f>
        <v>Территория 10</v>
      </c>
      <c r="H39" s="848"/>
      <c r="I39" s="848"/>
      <c r="J39" s="845"/>
      <c r="K39" s="1680"/>
      <c r="L39" s="1680"/>
      <c r="M39" s="1680"/>
      <c r="N39" s="282"/>
      <c r="O39" s="1680"/>
      <c r="P39" s="281"/>
      <c r="Q39" s="281"/>
      <c r="R39" s="281"/>
      <c r="S39" s="281"/>
      <c r="T39" s="2934"/>
      <c r="U39" s="2934"/>
      <c r="V39" s="2934"/>
      <c r="W39" s="2934"/>
      <c r="X39" s="2934"/>
      <c r="Y39" s="2934"/>
      <c r="Z39" s="2934"/>
      <c r="AA39" s="2934"/>
      <c r="AB39" s="2934"/>
      <c r="AC39" s="2934"/>
    </row>
    <row customHeight="1" ht="15">
      <c r="A40" s="2273"/>
      <c r="B40" s="1216">
        <v>1</v>
      </c>
      <c r="C40" s="1216"/>
      <c r="D40" s="856"/>
      <c r="E40" s="1869" t="str">
        <f>A39&amp;"."&amp;B40</f>
        <v>10.1</v>
      </c>
      <c r="F40" s="859" t="s">
        <v>147</v>
      </c>
      <c r="G40" s="849" t="s">
        <v>104</v>
      </c>
      <c r="H40" s="849" t="s">
        <v>148</v>
      </c>
      <c r="I40" s="847" t="s">
        <v>149</v>
      </c>
      <c r="J40" s="1680"/>
      <c r="K40" s="1692"/>
      <c r="L40" s="1692"/>
      <c r="M40" s="1680" t="str">
        <f t="array" ref="M40:M40">IF(ISERROR(MATCH(MID(N40,1,250),MID(note_ter,1,250),0)),"n","y")</f>
        <v>n</v>
      </c>
      <c r="N40" s="1692"/>
      <c r="O40" s="1680" t="str">
        <f>H40&amp;"("&amp;I40&amp;")"</f>
        <v>Новопоселеновский сельсовет(38620452)</v>
      </c>
      <c r="P40" s="1216"/>
      <c r="Q40" s="1216"/>
      <c r="R40" s="476"/>
      <c r="S40" s="1216"/>
      <c r="T40" s="1216"/>
      <c r="U40" s="1216"/>
      <c r="V40" s="478"/>
      <c r="W40" s="478"/>
      <c r="X40" s="475"/>
      <c r="Y40" s="475"/>
      <c r="Z40" s="475"/>
      <c r="AA40" s="475"/>
      <c r="AB40" s="475"/>
      <c r="AC40" s="475"/>
    </row>
    <row customHeight="1" ht="15">
      <c r="A41" s="2273"/>
      <c r="B41" s="1216"/>
      <c r="C41" s="468"/>
      <c r="D41" s="857"/>
      <c r="E41" s="477"/>
      <c r="F41" s="233"/>
      <c r="G41" s="471" t="s">
        <v>107</v>
      </c>
      <c r="H41" s="243"/>
      <c r="I41" s="480"/>
      <c r="J41" s="1692"/>
      <c r="K41" s="1692"/>
      <c r="L41" s="1692"/>
      <c r="M41" s="1692"/>
      <c r="N41" s="1680"/>
      <c r="O41" s="1692"/>
      <c r="P41" s="1216"/>
      <c r="Q41" s="1216"/>
      <c r="R41" s="476"/>
      <c r="S41" s="1216"/>
      <c r="T41" s="1216"/>
      <c r="U41" s="1216"/>
      <c r="V41" s="478"/>
      <c r="W41" s="478"/>
      <c r="X41" s="475"/>
      <c r="Y41" s="475"/>
      <c r="Z41" s="475"/>
      <c r="AA41" s="475"/>
      <c r="AB41" s="475"/>
      <c r="AC41" s="475"/>
    </row>
    <row customHeight="1" ht="15">
      <c r="A42" s="2273" t="s">
        <v>150</v>
      </c>
      <c r="B42" s="1216"/>
      <c r="C42" s="857" t="s">
        <v>109</v>
      </c>
      <c r="D42" s="1874"/>
      <c r="E42" s="1861" t="str">
        <f>A42</f>
        <v>11</v>
      </c>
      <c r="F42" s="860" t="s">
        <v>151</v>
      </c>
      <c r="G42" s="596" t="str">
        <f>"Территория "&amp;E42</f>
        <v>Территория 11</v>
      </c>
      <c r="H42" s="848"/>
      <c r="I42" s="848"/>
      <c r="J42" s="845"/>
      <c r="K42" s="1680"/>
      <c r="L42" s="1680"/>
      <c r="M42" s="1680"/>
      <c r="N42" s="282"/>
      <c r="O42" s="1680"/>
      <c r="P42" s="281"/>
      <c r="Q42" s="281"/>
      <c r="R42" s="281"/>
      <c r="S42" s="281"/>
      <c r="T42" s="2934"/>
      <c r="U42" s="2934"/>
      <c r="V42" s="2934"/>
      <c r="W42" s="2934"/>
      <c r="X42" s="2934"/>
      <c r="Y42" s="2934"/>
      <c r="Z42" s="2934"/>
      <c r="AA42" s="2934"/>
      <c r="AB42" s="2934"/>
      <c r="AC42" s="2934"/>
    </row>
    <row customHeight="1" ht="15">
      <c r="A43" s="2273"/>
      <c r="B43" s="1216">
        <v>1</v>
      </c>
      <c r="C43" s="1216"/>
      <c r="D43" s="856"/>
      <c r="E43" s="1869" t="str">
        <f>A42&amp;"."&amp;B43</f>
        <v>11.1</v>
      </c>
      <c r="F43" s="859" t="s">
        <v>152</v>
      </c>
      <c r="G43" s="849" t="s">
        <v>104</v>
      </c>
      <c r="H43" s="849" t="s">
        <v>153</v>
      </c>
      <c r="I43" s="847" t="s">
        <v>154</v>
      </c>
      <c r="J43" s="1680"/>
      <c r="K43" s="1692"/>
      <c r="L43" s="1692"/>
      <c r="M43" s="1680" t="str">
        <f t="array" ref="M43:M43">IF(ISERROR(MATCH(MID(N43,1,250),MID(note_ter,1,250),0)),"n","y")</f>
        <v>n</v>
      </c>
      <c r="N43" s="1692"/>
      <c r="O43" s="1680" t="str">
        <f>H43&amp;"("&amp;I43&amp;")"</f>
        <v>Ноздрачевский сельсовет(38620456)</v>
      </c>
      <c r="P43" s="1216"/>
      <c r="Q43" s="1216"/>
      <c r="R43" s="476"/>
      <c r="S43" s="1216"/>
      <c r="T43" s="1216"/>
      <c r="U43" s="1216"/>
      <c r="V43" s="478"/>
      <c r="W43" s="478"/>
      <c r="X43" s="475"/>
      <c r="Y43" s="475"/>
      <c r="Z43" s="475"/>
      <c r="AA43" s="475"/>
      <c r="AB43" s="475"/>
      <c r="AC43" s="475"/>
    </row>
    <row customHeight="1" ht="15">
      <c r="A44" s="2273"/>
      <c r="B44" s="1216"/>
      <c r="C44" s="468"/>
      <c r="D44" s="857"/>
      <c r="E44" s="477"/>
      <c r="F44" s="233"/>
      <c r="G44" s="471" t="s">
        <v>107</v>
      </c>
      <c r="H44" s="243"/>
      <c r="I44" s="480"/>
      <c r="J44" s="1692"/>
      <c r="K44" s="1692"/>
      <c r="L44" s="1692"/>
      <c r="M44" s="1692"/>
      <c r="N44" s="1680"/>
      <c r="O44" s="1692"/>
      <c r="P44" s="1216"/>
      <c r="Q44" s="1216"/>
      <c r="R44" s="476"/>
      <c r="S44" s="1216"/>
      <c r="T44" s="1216"/>
      <c r="U44" s="1216"/>
      <c r="V44" s="478"/>
      <c r="W44" s="478"/>
      <c r="X44" s="475"/>
      <c r="Y44" s="475"/>
      <c r="Z44" s="475"/>
      <c r="AA44" s="475"/>
      <c r="AB44" s="475"/>
      <c r="AC44" s="475"/>
    </row>
    <row customHeight="1" ht="15">
      <c r="A45" s="2273" t="s">
        <v>155</v>
      </c>
      <c r="B45" s="1216"/>
      <c r="C45" s="857" t="s">
        <v>109</v>
      </c>
      <c r="D45" s="1874"/>
      <c r="E45" s="1861" t="str">
        <f>A45</f>
        <v>12</v>
      </c>
      <c r="F45" s="860" t="s">
        <v>156</v>
      </c>
      <c r="G45" s="596" t="str">
        <f>"Территория "&amp;E45</f>
        <v>Территория 12</v>
      </c>
      <c r="H45" s="848"/>
      <c r="I45" s="848"/>
      <c r="J45" s="845"/>
      <c r="K45" s="1680"/>
      <c r="L45" s="1680"/>
      <c r="M45" s="1680"/>
      <c r="N45" s="282"/>
      <c r="O45" s="1680"/>
      <c r="P45" s="281"/>
      <c r="Q45" s="281"/>
      <c r="R45" s="281"/>
      <c r="S45" s="281"/>
      <c r="T45" s="2934"/>
      <c r="U45" s="2934"/>
      <c r="V45" s="2934"/>
      <c r="W45" s="2934"/>
      <c r="X45" s="2934"/>
      <c r="Y45" s="2934"/>
      <c r="Z45" s="2934"/>
      <c r="AA45" s="2934"/>
      <c r="AB45" s="2934"/>
      <c r="AC45" s="2934"/>
    </row>
    <row customHeight="1" ht="15">
      <c r="A46" s="2273"/>
      <c r="B46" s="1216">
        <v>1</v>
      </c>
      <c r="C46" s="1216"/>
      <c r="D46" s="856"/>
      <c r="E46" s="1869" t="str">
        <f>A45&amp;"."&amp;B46</f>
        <v>12.1</v>
      </c>
      <c r="F46" s="859" t="s">
        <v>157</v>
      </c>
      <c r="G46" s="849" t="s">
        <v>104</v>
      </c>
      <c r="H46" s="849" t="s">
        <v>158</v>
      </c>
      <c r="I46" s="847" t="s">
        <v>159</v>
      </c>
      <c r="J46" s="1680"/>
      <c r="K46" s="1692"/>
      <c r="L46" s="1692"/>
      <c r="M46" s="1680" t="str">
        <f t="array" ref="M46:M46">IF(ISERROR(MATCH(MID(N46,1,250),MID(note_ter,1,250),0)),"n","y")</f>
        <v>n</v>
      </c>
      <c r="N46" s="1692"/>
      <c r="O46" s="1680" t="str">
        <f>H46&amp;"("&amp;I46&amp;")"</f>
        <v>Пашковский сельсовет(38620460)</v>
      </c>
      <c r="P46" s="1216"/>
      <c r="Q46" s="1216"/>
      <c r="R46" s="476"/>
      <c r="S46" s="1216"/>
      <c r="T46" s="1216"/>
      <c r="U46" s="1216"/>
      <c r="V46" s="478"/>
      <c r="W46" s="478"/>
      <c r="X46" s="475"/>
      <c r="Y46" s="475"/>
      <c r="Z46" s="475"/>
      <c r="AA46" s="475"/>
      <c r="AB46" s="475"/>
      <c r="AC46" s="475"/>
    </row>
    <row customHeight="1" ht="15">
      <c r="A47" s="2273"/>
      <c r="B47" s="1216"/>
      <c r="C47" s="468"/>
      <c r="D47" s="857"/>
      <c r="E47" s="477"/>
      <c r="F47" s="233"/>
      <c r="G47" s="471" t="s">
        <v>107</v>
      </c>
      <c r="H47" s="243"/>
      <c r="I47" s="480"/>
      <c r="J47" s="1692"/>
      <c r="K47" s="1692"/>
      <c r="L47" s="1692"/>
      <c r="M47" s="1692"/>
      <c r="N47" s="1680"/>
      <c r="O47" s="1692"/>
      <c r="P47" s="1216"/>
      <c r="Q47" s="1216"/>
      <c r="R47" s="476"/>
      <c r="S47" s="1216"/>
      <c r="T47" s="1216"/>
      <c r="U47" s="1216"/>
      <c r="V47" s="478"/>
      <c r="W47" s="478"/>
      <c r="X47" s="475"/>
      <c r="Y47" s="475"/>
      <c r="Z47" s="475"/>
      <c r="AA47" s="475"/>
      <c r="AB47" s="475"/>
      <c r="AC47" s="475"/>
    </row>
    <row customHeight="1" ht="15">
      <c r="A48" s="2273" t="s">
        <v>160</v>
      </c>
      <c r="B48" s="1216"/>
      <c r="C48" s="857" t="s">
        <v>109</v>
      </c>
      <c r="D48" s="1874"/>
      <c r="E48" s="1861" t="str">
        <f>A48</f>
        <v>13</v>
      </c>
      <c r="F48" s="860" t="s">
        <v>161</v>
      </c>
      <c r="G48" s="596" t="str">
        <f>"Территория "&amp;E48</f>
        <v>Территория 13</v>
      </c>
      <c r="H48" s="848"/>
      <c r="I48" s="848"/>
      <c r="J48" s="845"/>
      <c r="K48" s="1680"/>
      <c r="L48" s="1680"/>
      <c r="M48" s="1680"/>
      <c r="N48" s="282"/>
      <c r="O48" s="1680"/>
      <c r="P48" s="281"/>
      <c r="Q48" s="281"/>
      <c r="R48" s="281"/>
      <c r="S48" s="281"/>
      <c r="T48" s="2934"/>
      <c r="U48" s="2934"/>
      <c r="V48" s="2934"/>
      <c r="W48" s="2934"/>
      <c r="X48" s="2934"/>
      <c r="Y48" s="2934"/>
      <c r="Z48" s="2934"/>
      <c r="AA48" s="2934"/>
      <c r="AB48" s="2934"/>
      <c r="AC48" s="2934"/>
    </row>
    <row customHeight="1" ht="15">
      <c r="A49" s="2273"/>
      <c r="B49" s="1216">
        <v>1</v>
      </c>
      <c r="C49" s="1216"/>
      <c r="D49" s="856"/>
      <c r="E49" s="1869" t="str">
        <f>A48&amp;"."&amp;B49</f>
        <v>13.1</v>
      </c>
      <c r="F49" s="859" t="s">
        <v>162</v>
      </c>
      <c r="G49" s="849" t="s">
        <v>104</v>
      </c>
      <c r="H49" s="849" t="s">
        <v>163</v>
      </c>
      <c r="I49" s="847" t="s">
        <v>164</v>
      </c>
      <c r="J49" s="1680"/>
      <c r="K49" s="1692"/>
      <c r="L49" s="1692"/>
      <c r="M49" s="1680" t="str">
        <f t="array" ref="M49:M49">IF(ISERROR(MATCH(MID(N49,1,250),MID(note_ter,1,250),0)),"n","y")</f>
        <v>n</v>
      </c>
      <c r="N49" s="1692"/>
      <c r="O49" s="1680" t="str">
        <f>H49&amp;"("&amp;I49&amp;")"</f>
        <v>Полевской сельсовет(38620468)</v>
      </c>
      <c r="P49" s="1216"/>
      <c r="Q49" s="1216"/>
      <c r="R49" s="476"/>
      <c r="S49" s="1216"/>
      <c r="T49" s="1216"/>
      <c r="U49" s="1216"/>
      <c r="V49" s="478"/>
      <c r="W49" s="478"/>
      <c r="X49" s="475"/>
      <c r="Y49" s="475"/>
      <c r="Z49" s="475"/>
      <c r="AA49" s="475"/>
      <c r="AB49" s="475"/>
      <c r="AC49" s="475"/>
    </row>
    <row customHeight="1" ht="15">
      <c r="A50" s="2273"/>
      <c r="B50" s="1216"/>
      <c r="C50" s="468"/>
      <c r="D50" s="857"/>
      <c r="E50" s="477"/>
      <c r="F50" s="233"/>
      <c r="G50" s="471" t="s">
        <v>107</v>
      </c>
      <c r="H50" s="243"/>
      <c r="I50" s="480"/>
      <c r="J50" s="1692"/>
      <c r="K50" s="1692"/>
      <c r="L50" s="1692"/>
      <c r="M50" s="1692"/>
      <c r="N50" s="1680"/>
      <c r="O50" s="1692"/>
      <c r="P50" s="1216"/>
      <c r="Q50" s="1216"/>
      <c r="R50" s="476"/>
      <c r="S50" s="1216"/>
      <c r="T50" s="1216"/>
      <c r="U50" s="1216"/>
      <c r="V50" s="478"/>
      <c r="W50" s="478"/>
      <c r="X50" s="475"/>
      <c r="Y50" s="475"/>
      <c r="Z50" s="475"/>
      <c r="AA50" s="475"/>
      <c r="AB50" s="475"/>
      <c r="AC50" s="475"/>
    </row>
    <row customHeight="1" ht="15">
      <c r="A51" s="2273" t="s">
        <v>165</v>
      </c>
      <c r="B51" s="1216"/>
      <c r="C51" s="857" t="s">
        <v>109</v>
      </c>
      <c r="D51" s="1874"/>
      <c r="E51" s="1861" t="str">
        <f>A51</f>
        <v>14</v>
      </c>
      <c r="F51" s="860" t="s">
        <v>166</v>
      </c>
      <c r="G51" s="596" t="str">
        <f>"Территория "&amp;E51</f>
        <v>Территория 14</v>
      </c>
      <c r="H51" s="848"/>
      <c r="I51" s="848"/>
      <c r="J51" s="845"/>
      <c r="K51" s="1680"/>
      <c r="L51" s="1680"/>
      <c r="M51" s="1680"/>
      <c r="N51" s="282"/>
      <c r="O51" s="1680"/>
      <c r="P51" s="281"/>
      <c r="Q51" s="281"/>
      <c r="R51" s="281"/>
      <c r="S51" s="281"/>
      <c r="T51" s="2934"/>
      <c r="U51" s="2934"/>
      <c r="V51" s="2934"/>
      <c r="W51" s="2934"/>
      <c r="X51" s="2934"/>
      <c r="Y51" s="2934"/>
      <c r="Z51" s="2934"/>
      <c r="AA51" s="2934"/>
      <c r="AB51" s="2934"/>
      <c r="AC51" s="2934"/>
    </row>
    <row customHeight="1" ht="15">
      <c r="A52" s="2273"/>
      <c r="B52" s="1216">
        <v>1</v>
      </c>
      <c r="C52" s="1216"/>
      <c r="D52" s="856"/>
      <c r="E52" s="1869" t="str">
        <f>A51&amp;"."&amp;B52</f>
        <v>14.1</v>
      </c>
      <c r="F52" s="859" t="s">
        <v>167</v>
      </c>
      <c r="G52" s="849" t="s">
        <v>104</v>
      </c>
      <c r="H52" s="849" t="s">
        <v>168</v>
      </c>
      <c r="I52" s="847" t="s">
        <v>169</v>
      </c>
      <c r="J52" s="1680"/>
      <c r="K52" s="1692"/>
      <c r="L52" s="1692"/>
      <c r="M52" s="1680" t="str">
        <f t="array" ref="M52:M52">IF(ISERROR(MATCH(MID(N52,1,250),MID(note_ter,1,250),0)),"n","y")</f>
        <v>n</v>
      </c>
      <c r="N52" s="1692"/>
      <c r="O52" s="1680" t="str">
        <f>H52&amp;"("&amp;I52&amp;")"</f>
        <v>Полянский сельсовет(38620472)</v>
      </c>
      <c r="P52" s="1216"/>
      <c r="Q52" s="1216"/>
      <c r="R52" s="476"/>
      <c r="S52" s="1216"/>
      <c r="T52" s="1216"/>
      <c r="U52" s="1216"/>
      <c r="V52" s="478"/>
      <c r="W52" s="478"/>
      <c r="X52" s="475"/>
      <c r="Y52" s="475"/>
      <c r="Z52" s="475"/>
      <c r="AA52" s="475"/>
      <c r="AB52" s="475"/>
      <c r="AC52" s="475"/>
    </row>
    <row customHeight="1" ht="15">
      <c r="A53" s="2273"/>
      <c r="B53" s="1216"/>
      <c r="C53" s="468"/>
      <c r="D53" s="857"/>
      <c r="E53" s="477"/>
      <c r="F53" s="233"/>
      <c r="G53" s="471" t="s">
        <v>107</v>
      </c>
      <c r="H53" s="243"/>
      <c r="I53" s="480"/>
      <c r="J53" s="1692"/>
      <c r="K53" s="1692"/>
      <c r="L53" s="1692"/>
      <c r="M53" s="1692"/>
      <c r="N53" s="1680"/>
      <c r="O53" s="1692"/>
      <c r="P53" s="1216"/>
      <c r="Q53" s="1216"/>
      <c r="R53" s="476"/>
      <c r="S53" s="1216"/>
      <c r="T53" s="1216"/>
      <c r="U53" s="1216"/>
      <c r="V53" s="478"/>
      <c r="W53" s="478"/>
      <c r="X53" s="475"/>
      <c r="Y53" s="475"/>
      <c r="Z53" s="475"/>
      <c r="AA53" s="475"/>
      <c r="AB53" s="475"/>
      <c r="AC53" s="475"/>
    </row>
    <row customHeight="1" ht="15">
      <c r="A54" s="2273" t="s">
        <v>170</v>
      </c>
      <c r="B54" s="1216"/>
      <c r="C54" s="857" t="s">
        <v>109</v>
      </c>
      <c r="D54" s="1874"/>
      <c r="E54" s="1861" t="str">
        <f>A54</f>
        <v>15</v>
      </c>
      <c r="F54" s="860" t="s">
        <v>171</v>
      </c>
      <c r="G54" s="596" t="str">
        <f>"Территория "&amp;E54</f>
        <v>Территория 15</v>
      </c>
      <c r="H54" s="848"/>
      <c r="I54" s="848"/>
      <c r="J54" s="845"/>
      <c r="K54" s="1680"/>
      <c r="L54" s="1680"/>
      <c r="M54" s="1680"/>
      <c r="N54" s="282"/>
      <c r="O54" s="1680"/>
      <c r="P54" s="281"/>
      <c r="Q54" s="281"/>
      <c r="R54" s="281"/>
      <c r="S54" s="281"/>
      <c r="T54" s="2934"/>
      <c r="U54" s="2934"/>
      <c r="V54" s="2934"/>
      <c r="W54" s="2934"/>
      <c r="X54" s="2934"/>
      <c r="Y54" s="2934"/>
      <c r="Z54" s="2934"/>
      <c r="AA54" s="2934"/>
      <c r="AB54" s="2934"/>
      <c r="AC54" s="2934"/>
    </row>
    <row customHeight="1" ht="15">
      <c r="A55" s="2273"/>
      <c r="B55" s="1216">
        <v>1</v>
      </c>
      <c r="C55" s="1216"/>
      <c r="D55" s="856"/>
      <c r="E55" s="1869" t="str">
        <f>A54&amp;"."&amp;B55</f>
        <v>15.1</v>
      </c>
      <c r="F55" s="859" t="s">
        <v>172</v>
      </c>
      <c r="G55" s="849" t="s">
        <v>104</v>
      </c>
      <c r="H55" s="849" t="s">
        <v>173</v>
      </c>
      <c r="I55" s="847" t="s">
        <v>174</v>
      </c>
      <c r="J55" s="1680"/>
      <c r="K55" s="1692"/>
      <c r="L55" s="1692"/>
      <c r="M55" s="1680" t="str">
        <f t="array" ref="M55:M55">IF(ISERROR(MATCH(MID(N55,1,250),MID(note_ter,1,250),0)),"n","y")</f>
        <v>n</v>
      </c>
      <c r="N55" s="1692"/>
      <c r="O55" s="1680" t="str">
        <f>H55&amp;"("&amp;I55&amp;")"</f>
        <v>Рышковский сельсовет(38620476)</v>
      </c>
      <c r="P55" s="1216"/>
      <c r="Q55" s="1216"/>
      <c r="R55" s="476"/>
      <c r="S55" s="1216"/>
      <c r="T55" s="1216"/>
      <c r="U55" s="1216"/>
      <c r="V55" s="478"/>
      <c r="W55" s="478"/>
      <c r="X55" s="475"/>
      <c r="Y55" s="475"/>
      <c r="Z55" s="475"/>
      <c r="AA55" s="475"/>
      <c r="AB55" s="475"/>
      <c r="AC55" s="475"/>
    </row>
    <row customHeight="1" ht="15">
      <c r="A56" s="2273"/>
      <c r="B56" s="1216"/>
      <c r="C56" s="468"/>
      <c r="D56" s="857"/>
      <c r="E56" s="477"/>
      <c r="F56" s="233"/>
      <c r="G56" s="471" t="s">
        <v>107</v>
      </c>
      <c r="H56" s="243"/>
      <c r="I56" s="480"/>
      <c r="J56" s="1692"/>
      <c r="K56" s="1692"/>
      <c r="L56" s="1692"/>
      <c r="M56" s="1692"/>
      <c r="N56" s="1680"/>
      <c r="O56" s="1692"/>
      <c r="P56" s="1216"/>
      <c r="Q56" s="1216"/>
      <c r="R56" s="476"/>
      <c r="S56" s="1216"/>
      <c r="T56" s="1216"/>
      <c r="U56" s="1216"/>
      <c r="V56" s="478"/>
      <c r="W56" s="478"/>
      <c r="X56" s="475"/>
      <c r="Y56" s="475"/>
      <c r="Z56" s="475"/>
      <c r="AA56" s="475"/>
      <c r="AB56" s="475"/>
      <c r="AC56" s="475"/>
    </row>
    <row customHeight="1" ht="15">
      <c r="A57" s="2273" t="s">
        <v>175</v>
      </c>
      <c r="B57" s="1216"/>
      <c r="C57" s="857" t="s">
        <v>109</v>
      </c>
      <c r="D57" s="1874"/>
      <c r="E57" s="1861" t="str">
        <f>A57</f>
        <v>16</v>
      </c>
      <c r="F57" s="860" t="s">
        <v>176</v>
      </c>
      <c r="G57" s="596" t="str">
        <f>"Территория "&amp;E57</f>
        <v>Территория 16</v>
      </c>
      <c r="H57" s="848"/>
      <c r="I57" s="848"/>
      <c r="J57" s="845"/>
      <c r="K57" s="1680"/>
      <c r="L57" s="1680"/>
      <c r="M57" s="1680"/>
      <c r="N57" s="282"/>
      <c r="O57" s="1680"/>
      <c r="P57" s="281"/>
      <c r="Q57" s="281"/>
      <c r="R57" s="281"/>
      <c r="S57" s="281"/>
      <c r="T57" s="2934"/>
      <c r="U57" s="2934"/>
      <c r="V57" s="2934"/>
      <c r="W57" s="2934"/>
      <c r="X57" s="2934"/>
      <c r="Y57" s="2934"/>
      <c r="Z57" s="2934"/>
      <c r="AA57" s="2934"/>
      <c r="AB57" s="2934"/>
      <c r="AC57" s="2934"/>
    </row>
    <row customHeight="1" ht="15">
      <c r="A58" s="2273"/>
      <c r="B58" s="1216">
        <v>1</v>
      </c>
      <c r="C58" s="1216"/>
      <c r="D58" s="856"/>
      <c r="E58" s="1869" t="str">
        <f>A57&amp;"."&amp;B58</f>
        <v>16.1</v>
      </c>
      <c r="F58" s="859" t="s">
        <v>177</v>
      </c>
      <c r="G58" s="849" t="s">
        <v>104</v>
      </c>
      <c r="H58" s="849" t="s">
        <v>178</v>
      </c>
      <c r="I58" s="847" t="s">
        <v>179</v>
      </c>
      <c r="J58" s="1680"/>
      <c r="K58" s="1692"/>
      <c r="L58" s="1692"/>
      <c r="M58" s="1680" t="str">
        <f t="array" ref="M58:M58">IF(ISERROR(MATCH(MID(N58,1,250),MID(note_ter,1,250),0)),"n","y")</f>
        <v>n</v>
      </c>
      <c r="N58" s="1692"/>
      <c r="O58" s="1680" t="str">
        <f>H58&amp;"("&amp;I58&amp;")"</f>
        <v>Шумаковский сельсовет(38620488)</v>
      </c>
      <c r="P58" s="1216"/>
      <c r="Q58" s="1216"/>
      <c r="R58" s="476"/>
      <c r="S58" s="1216"/>
      <c r="T58" s="1216"/>
      <c r="U58" s="1216"/>
      <c r="V58" s="478"/>
      <c r="W58" s="478"/>
      <c r="X58" s="475"/>
      <c r="Y58" s="475"/>
      <c r="Z58" s="475"/>
      <c r="AA58" s="475"/>
      <c r="AB58" s="475"/>
      <c r="AC58" s="475"/>
    </row>
    <row customHeight="1" ht="15">
      <c r="A59" s="2273"/>
      <c r="B59" s="1216"/>
      <c r="C59" s="468"/>
      <c r="D59" s="857"/>
      <c r="E59" s="477"/>
      <c r="F59" s="233"/>
      <c r="G59" s="471" t="s">
        <v>107</v>
      </c>
      <c r="H59" s="243"/>
      <c r="I59" s="480"/>
      <c r="J59" s="1692"/>
      <c r="K59" s="1692"/>
      <c r="L59" s="1692"/>
      <c r="M59" s="1692"/>
      <c r="N59" s="1680"/>
      <c r="O59" s="1692"/>
      <c r="P59" s="1216"/>
      <c r="Q59" s="1216"/>
      <c r="R59" s="476"/>
      <c r="S59" s="1216"/>
      <c r="T59" s="1216"/>
      <c r="U59" s="1216"/>
      <c r="V59" s="478"/>
      <c r="W59" s="478"/>
      <c r="X59" s="475"/>
      <c r="Y59" s="475"/>
      <c r="Z59" s="475"/>
      <c r="AA59" s="475"/>
      <c r="AB59" s="475"/>
      <c r="AC59" s="475"/>
    </row>
    <row customHeight="1" ht="15">
      <c r="A60" s="2273" t="s">
        <v>180</v>
      </c>
      <c r="B60" s="1216"/>
      <c r="C60" s="857" t="s">
        <v>109</v>
      </c>
      <c r="D60" s="1874"/>
      <c r="E60" s="1861" t="str">
        <f>A60</f>
        <v>17</v>
      </c>
      <c r="F60" s="860" t="s">
        <v>181</v>
      </c>
      <c r="G60" s="596" t="str">
        <f>"Территория "&amp;E60</f>
        <v>Территория 17</v>
      </c>
      <c r="H60" s="848"/>
      <c r="I60" s="848"/>
      <c r="J60" s="845"/>
      <c r="K60" s="1680"/>
      <c r="L60" s="1680"/>
      <c r="M60" s="1680"/>
      <c r="N60" s="282"/>
      <c r="O60" s="1680"/>
      <c r="P60" s="281"/>
      <c r="Q60" s="281"/>
      <c r="R60" s="281"/>
      <c r="S60" s="281"/>
      <c r="T60" s="2934"/>
      <c r="U60" s="2934"/>
      <c r="V60" s="2934"/>
      <c r="W60" s="2934"/>
      <c r="X60" s="2934"/>
      <c r="Y60" s="2934"/>
      <c r="Z60" s="2934"/>
      <c r="AA60" s="2934"/>
      <c r="AB60" s="2934"/>
      <c r="AC60" s="2934"/>
    </row>
    <row customHeight="1" ht="15">
      <c r="A61" s="2273"/>
      <c r="B61" s="1216">
        <v>1</v>
      </c>
      <c r="C61" s="1216"/>
      <c r="D61" s="856"/>
      <c r="E61" s="1869" t="str">
        <f>A60&amp;"."&amp;B61</f>
        <v>17.1</v>
      </c>
      <c r="F61" s="859" t="s">
        <v>182</v>
      </c>
      <c r="G61" s="849" t="s">
        <v>104</v>
      </c>
      <c r="H61" s="849" t="s">
        <v>183</v>
      </c>
      <c r="I61" s="847" t="s">
        <v>184</v>
      </c>
      <c r="J61" s="1680"/>
      <c r="K61" s="1692"/>
      <c r="L61" s="1692"/>
      <c r="M61" s="1680" t="str">
        <f t="array" ref="M61:M61">IF(ISERROR(MATCH(MID(N61,1,250),MID(note_ter,1,250),0)),"n","y")</f>
        <v>n</v>
      </c>
      <c r="N61" s="1692"/>
      <c r="O61" s="1680" t="str">
        <f>H61&amp;"("&amp;I61&amp;")"</f>
        <v>Щетинский сельсовет(38620492)</v>
      </c>
      <c r="P61" s="1216"/>
      <c r="Q61" s="1216"/>
      <c r="R61" s="476"/>
      <c r="S61" s="1216"/>
      <c r="T61" s="1216"/>
      <c r="U61" s="1216"/>
      <c r="V61" s="478"/>
      <c r="W61" s="478"/>
      <c r="X61" s="475"/>
      <c r="Y61" s="475"/>
      <c r="Z61" s="475"/>
      <c r="AA61" s="475"/>
      <c r="AB61" s="475"/>
      <c r="AC61" s="475"/>
    </row>
    <row customHeight="1" ht="15">
      <c r="A62" s="2273"/>
      <c r="B62" s="1216"/>
      <c r="C62" s="468"/>
      <c r="D62" s="857"/>
      <c r="E62" s="477"/>
      <c r="F62" s="233"/>
      <c r="G62" s="471" t="s">
        <v>107</v>
      </c>
      <c r="H62" s="243"/>
      <c r="I62" s="480"/>
      <c r="J62" s="1692"/>
      <c r="K62" s="1692"/>
      <c r="L62" s="1692"/>
      <c r="M62" s="1692"/>
      <c r="N62" s="1680"/>
      <c r="O62" s="1692"/>
      <c r="P62" s="1216"/>
      <c r="Q62" s="1216"/>
      <c r="R62" s="476"/>
      <c r="S62" s="1216"/>
      <c r="T62" s="1216"/>
      <c r="U62" s="1216"/>
      <c r="V62" s="478"/>
      <c r="W62" s="478"/>
      <c r="X62" s="475"/>
      <c r="Y62" s="475"/>
      <c r="Z62" s="475"/>
      <c r="AA62" s="475"/>
      <c r="AB62" s="475"/>
      <c r="AC62" s="475"/>
    </row>
    <row s="2866" customFormat="1" customHeight="1" ht="14.699999999999998">
      <c r="A63" s="814"/>
      <c r="B63" s="473"/>
      <c r="C63" s="814"/>
      <c r="D63" s="838"/>
      <c r="E63" s="850"/>
      <c r="F63" s="234"/>
      <c r="G63" s="472" t="s">
        <v>185</v>
      </c>
      <c r="H63" s="234"/>
      <c r="I63" s="235"/>
      <c r="J63" s="305"/>
      <c r="K63" s="211"/>
      <c r="L63" s="211"/>
      <c r="M63" s="211"/>
      <c r="N63" s="282" t="s">
        <v>186</v>
      </c>
      <c r="O63" s="211"/>
      <c r="P63" s="281"/>
      <c r="Q63" s="281"/>
      <c r="R63" s="281"/>
      <c r="S63" s="281"/>
      <c r="AC63" s="172">
        <v>14</v>
      </c>
    </row>
    <row s="2866" customFormat="1" customHeight="1" ht="22.049999999999997">
      <c r="A64" s="814"/>
      <c r="B64" s="473"/>
      <c r="C64" s="814"/>
      <c r="D64" s="221"/>
      <c r="E64" s="236"/>
      <c r="F64" s="236"/>
      <c r="G64" s="236"/>
      <c r="H64" s="236"/>
      <c r="I64" s="236"/>
      <c r="J64" s="211"/>
      <c r="K64" s="211"/>
      <c r="L64" s="211"/>
      <c r="M64" s="211"/>
      <c r="N64" s="282"/>
      <c r="O64" s="211"/>
      <c r="P64" s="281"/>
      <c r="Q64" s="281"/>
      <c r="R64" s="281"/>
      <c r="S64" s="281"/>
      <c r="AC64" s="172">
        <v>21</v>
      </c>
    </row>
    <row s="2866" customFormat="1" customHeight="1" ht="14.699999999999998">
      <c r="A65" s="814"/>
      <c r="B65" s="473"/>
      <c r="C65" s="814"/>
      <c r="D65" s="221"/>
      <c r="E65" s="139"/>
      <c r="F65" s="814"/>
      <c r="G65" s="139"/>
      <c r="H65" s="139"/>
      <c r="I65" s="139"/>
      <c r="J65" s="211"/>
      <c r="K65" s="211"/>
      <c r="L65" s="211"/>
      <c r="M65" s="211"/>
      <c r="N65" s="282"/>
      <c r="O65" s="211"/>
      <c r="P65" s="281"/>
      <c r="Q65" s="281"/>
      <c r="R65" s="281"/>
      <c r="S65" s="281"/>
      <c r="AC65" s="172">
        <v>14</v>
      </c>
    </row>
    <row s="2866" customFormat="1" customHeight="1" ht="1.05">
      <c r="A66" s="814"/>
      <c r="B66" s="473"/>
      <c r="C66" s="814"/>
      <c r="D66" s="221"/>
      <c r="E66" s="139"/>
      <c r="F66" s="814"/>
      <c r="G66" s="139"/>
      <c r="H66" s="139"/>
      <c r="I66" s="139"/>
      <c r="J66" s="211"/>
      <c r="K66" s="211"/>
      <c r="L66" s="211"/>
      <c r="M66" s="211"/>
      <c r="N66" s="282"/>
      <c r="O66" s="211"/>
      <c r="P66" s="281"/>
      <c r="Q66" s="281"/>
      <c r="R66" s="281"/>
      <c r="S66" s="281"/>
      <c r="AC66" s="172">
        <v>1</v>
      </c>
    </row>
    <row s="2944" customFormat="1" customHeight="1" ht="10.5">
      <c r="B67" s="890"/>
      <c r="D67" s="238"/>
      <c r="J67" s="211"/>
      <c r="K67" s="211"/>
      <c r="L67" s="211"/>
      <c r="M67" s="211"/>
      <c r="N67" s="282"/>
      <c r="O67" s="211"/>
      <c r="P67" s="281"/>
      <c r="Q67" s="281"/>
      <c r="R67" s="281"/>
      <c r="S67" s="281"/>
      <c r="AC67" s="237">
        <v>10</v>
      </c>
    </row>
    <row s="2944" customFormat="1" customHeight="1" ht="10.5">
      <c r="B68" s="890"/>
      <c r="D68" s="238"/>
      <c r="J68" s="211"/>
      <c r="K68" s="211"/>
      <c r="L68" s="211"/>
      <c r="M68" s="211"/>
      <c r="N68" s="282"/>
      <c r="O68" s="211"/>
      <c r="P68" s="281"/>
      <c r="Q68" s="281"/>
      <c r="R68" s="281"/>
      <c r="S68" s="281"/>
      <c r="AC68" s="237">
        <v>10</v>
      </c>
    </row>
    <row customHeight="1" ht="14.699999999999998">
      <c r="AC69" s="139">
        <v>14</v>
      </c>
    </row>
    <row customHeight="1" ht="14.699999999999998">
      <c r="AC70" s="139">
        <v>14</v>
      </c>
    </row>
    <row customHeight="1" ht="14.699999999999998">
      <c r="AC71" s="139">
        <v>14</v>
      </c>
    </row>
    <row customHeight="1" ht="14.699999999999998">
      <c r="H72" s="118"/>
      <c r="AC72" s="139">
        <v>14</v>
      </c>
    </row>
    <row customHeight="1" ht="14.699999999999998">
      <c r="AC73" s="139">
        <v>14</v>
      </c>
    </row>
    <row customHeight="1" ht="14.699999999999998">
      <c r="AC74" s="139">
        <v>14</v>
      </c>
    </row>
    <row customHeight="1" ht="14.699999999999998">
      <c r="AC75" s="139">
        <v>14</v>
      </c>
    </row>
    <row customHeight="1" ht="14.699999999999998">
      <c r="J76" s="139"/>
      <c r="K76" s="139"/>
      <c r="L76" s="139"/>
      <c r="AC76" s="139">
        <v>14</v>
      </c>
    </row>
    <row customHeight="1" ht="22.5" hidden="1">
      <c r="A77" s="814" t="s">
        <v>86</v>
      </c>
      <c r="B77" s="473">
        <v>0</v>
      </c>
      <c r="C77" s="814">
        <v>3</v>
      </c>
      <c r="D77" s="221">
        <v>3</v>
      </c>
      <c r="E77" s="139">
        <v>6</v>
      </c>
      <c r="F77" s="814">
        <v>0</v>
      </c>
      <c r="G77" s="139">
        <v>46</v>
      </c>
      <c r="H77" s="139">
        <v>42</v>
      </c>
      <c r="I77" s="139">
        <v>14</v>
      </c>
      <c r="J77" s="211">
        <v>3</v>
      </c>
      <c r="K77" s="211">
        <v>0</v>
      </c>
      <c r="L77" s="211">
        <v>0</v>
      </c>
      <c r="M77" s="211">
        <v>0</v>
      </c>
      <c r="N77" s="282">
        <v>0</v>
      </c>
      <c r="O77" s="211">
        <v>0</v>
      </c>
      <c r="P77" s="281">
        <v>0</v>
      </c>
      <c r="Q77" s="281">
        <v>0</v>
      </c>
      <c r="R77" s="281">
        <v>0</v>
      </c>
      <c r="S77" s="281">
        <v>0</v>
      </c>
      <c r="T77" s="139">
        <v>0</v>
      </c>
      <c r="U77" s="139">
        <v>0</v>
      </c>
      <c r="V77" s="139">
        <v>0</v>
      </c>
      <c r="W77" s="139">
        <v>0</v>
      </c>
      <c r="X77" s="139">
        <v>0</v>
      </c>
      <c r="Y77" s="139">
        <v>0</v>
      </c>
      <c r="Z77" s="139">
        <v>0</v>
      </c>
      <c r="AA77" s="139">
        <v>0</v>
      </c>
      <c r="AB77" s="139">
        <v>8</v>
      </c>
      <c r="AC77" s="139">
        <v>23</v>
      </c>
    </row>
  </sheetData>
  <sheetProtection formatColumns="0" formatRows="0" autoFilter="0" sort="0" insertRows="0" insertColumns="1" deleteRows="0" deleteColumns="0"/>
  <mergeCells count="20">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s>
  <dataValidations count="17">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2B51E2-CA14-CA0D-ECE1-4296ED9476D7}"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8" style="2774" width="19.7109375" hidden="1" customWidth="1"/>
    <col min="29" max="29" style="2774" width="11.7109375" hidden="1" customWidth="1"/>
    <col min="30" max="30" style="2774" width="3.7109375" hidden="1" customWidth="1"/>
    <col min="31" max="31" style="2774" width="11.7109375" hidden="1" customWidth="1"/>
    <col min="32" max="32" style="2774" width="8.57421875" hidden="1" customWidth="1"/>
    <col min="33" max="33" style="2774" width="19.7109375" customWidth="1"/>
    <col min="34" max="39" style="2774" width="19.00390625" customWidth="1"/>
    <col min="40" max="40" style="2774" width="11.00390625" customWidth="1"/>
    <col min="41" max="41" style="2774" width="3.7109375" customWidth="1"/>
    <col min="42" max="42" style="2774" width="11.00390625" customWidth="1"/>
    <col min="43" max="43" style="2774" width="8.57421875" hidden="1" customWidth="1"/>
    <col min="44" max="44" style="2774" width="4.00390625" customWidth="1"/>
    <col min="45" max="45" style="2774" width="115.00390625" customWidth="1"/>
    <col min="46" max="50" style="2851" width="10.00390625" customWidth="1"/>
    <col min="51" max="51" style="2774" width="10.57421875" hidden="1"/>
  </cols>
  <sheetData>
    <row customHeight="1" ht="22.5" hidden="1">
      <c r="AC1" s="383"/>
      <c r="AN1" s="383"/>
      <c r="AY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49">
        <f>INDEX(PT_DIFFERENTIATION_NUM_NTAR,MATCH(A2,PT_DIFFERENTIATION_NTAR_ID,0))</f>
      </c>
      <c r="T2" s="354" t="s">
        <v>202</v>
      </c>
      <c r="U2" s="356"/>
      <c r="V2" s="2298"/>
      <c r="W2" s="2299"/>
      <c r="X2" s="2299"/>
      <c r="Y2" s="2299"/>
      <c r="Z2" s="2299"/>
      <c r="AA2" s="2299"/>
      <c r="AB2" s="2299"/>
      <c r="AC2" s="2299"/>
      <c r="AD2" s="2299"/>
      <c r="AE2" s="2299"/>
      <c r="AF2" s="2300"/>
      <c r="AG2" s="2298">
        <f>INDEX(PT_DIFFERENTIATION_NTAR,MATCH(A2,PT_DIFFERENTIATION_NTAR_ID,0))</f>
      </c>
      <c r="AH2" s="2299"/>
      <c r="AI2" s="2299"/>
      <c r="AJ2" s="2299"/>
      <c r="AK2" s="2299"/>
      <c r="AL2" s="2299"/>
      <c r="AM2" s="2299"/>
      <c r="AN2" s="2299"/>
      <c r="AO2" s="2299"/>
      <c r="AP2" s="2299"/>
      <c r="AQ2" s="2299"/>
      <c r="AR2" s="2300"/>
      <c r="AS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56"/>
      <c r="AV2" s="556" t="str">
        <f>IF(T2="","",T2)</f>
        <v>Наименование тарифа</v>
      </c>
      <c r="AW2" s="556"/>
      <c r="AX2" s="556"/>
      <c r="AY2" s="1211">
        <v>0</v>
      </c>
    </row>
    <row customHeight="1" ht="23.25" hidden="1">
      <c r="A3" s="1419"/>
      <c r="B3" s="1419"/>
      <c r="C3" s="1419"/>
      <c r="D3" s="1419"/>
      <c r="E3" s="2315"/>
      <c r="F3" s="2314">
        <v>1</v>
      </c>
      <c r="G3" s="1419"/>
      <c r="H3" s="1419"/>
      <c r="I3" s="1419"/>
      <c r="J3" s="1419"/>
      <c r="K3" s="1419"/>
      <c r="L3" s="1420"/>
      <c r="M3" s="1421"/>
      <c r="N3" s="1421"/>
      <c r="O3" s="1421"/>
      <c r="P3" s="1543"/>
      <c r="Q3" s="408"/>
      <c r="R3" s="409"/>
      <c r="S3" s="1549">
        <f>INDEX(PT_DIFFERENTIATION_NUM_TER,MATCH(B3,PT_DIFFERENTIATION_TER_ID,0))</f>
      </c>
      <c r="T3" s="364" t="s">
        <v>529</v>
      </c>
      <c r="U3" s="356"/>
      <c r="V3" s="2298"/>
      <c r="W3" s="2299"/>
      <c r="X3" s="2299"/>
      <c r="Y3" s="2299"/>
      <c r="Z3" s="2299"/>
      <c r="AA3" s="2299"/>
      <c r="AB3" s="2299"/>
      <c r="AC3" s="2299"/>
      <c r="AD3" s="2299"/>
      <c r="AE3" s="2299"/>
      <c r="AF3" s="2300"/>
      <c r="AG3" s="2298">
        <f>INDEX(PT_DIFFERENTIATION_TER,MATCH(B3,PT_DIFFERENTIATION_TER_ID,0))</f>
      </c>
      <c r="AH3" s="2299"/>
      <c r="AI3" s="2299"/>
      <c r="AJ3" s="2299"/>
      <c r="AK3" s="2299"/>
      <c r="AL3" s="2299"/>
      <c r="AM3" s="2299"/>
      <c r="AN3" s="2299"/>
      <c r="AO3" s="2299"/>
      <c r="AP3" s="2299"/>
      <c r="AQ3" s="2299"/>
      <c r="AR3" s="2300"/>
      <c r="AS3" s="1314" t="s">
        <v>530</v>
      </c>
      <c r="AU3" s="556"/>
      <c r="AV3" s="556" t="str">
        <f>IF(T3="","",T3)</f>
        <v>Территория действия тарифа</v>
      </c>
      <c r="AW3" s="556"/>
      <c r="AX3" s="556"/>
      <c r="AY3" s="1211">
        <v>0</v>
      </c>
    </row>
    <row customHeight="1" ht="23.25" hidden="1">
      <c r="A4" s="1419"/>
      <c r="B4" s="1419"/>
      <c r="C4" s="1419"/>
      <c r="D4" s="1419"/>
      <c r="E4" s="2315"/>
      <c r="F4" s="2315"/>
      <c r="G4" s="2314">
        <v>1</v>
      </c>
      <c r="H4" s="1419"/>
      <c r="I4" s="1419"/>
      <c r="J4" s="1419"/>
      <c r="K4" s="1419"/>
      <c r="L4" s="1420"/>
      <c r="M4" s="1421"/>
      <c r="N4" s="1421"/>
      <c r="O4" s="1421"/>
      <c r="P4" s="410"/>
      <c r="Q4" s="408"/>
      <c r="R4" s="409"/>
      <c r="S4" s="1549">
        <f>INDEX(PT_DIFFERENTIATION_NUM_CS,MATCH(C4,PT_DIFFERENTIATION_CS_ID,0))</f>
      </c>
      <c r="T4" s="365" t="s">
        <v>663</v>
      </c>
      <c r="U4" s="356"/>
      <c r="V4" s="2298"/>
      <c r="W4" s="2299"/>
      <c r="X4" s="2299"/>
      <c r="Y4" s="2299"/>
      <c r="Z4" s="2299"/>
      <c r="AA4" s="2299"/>
      <c r="AB4" s="2299"/>
      <c r="AC4" s="2299"/>
      <c r="AD4" s="2299"/>
      <c r="AE4" s="2299"/>
      <c r="AF4" s="2300"/>
      <c r="AG4" s="2298">
        <f>INDEX(PT_DIFFERENTIATION_CS,MATCH(C4,PT_DIFFERENTIATION_CS_ID,0))</f>
      </c>
      <c r="AH4" s="2299"/>
      <c r="AI4" s="2299"/>
      <c r="AJ4" s="2299"/>
      <c r="AK4" s="2299"/>
      <c r="AL4" s="2299"/>
      <c r="AM4" s="2299"/>
      <c r="AN4" s="2299"/>
      <c r="AO4" s="2299"/>
      <c r="AP4" s="2299"/>
      <c r="AQ4" s="2299"/>
      <c r="AR4" s="2300"/>
      <c r="AS4" s="1314" t="s">
        <v>664</v>
      </c>
      <c r="AU4" s="556"/>
      <c r="AV4" s="556" t="str">
        <f>IF(T4="","",T4)</f>
        <v>Наименование централизованной системы горячего водоснабжения</v>
      </c>
      <c r="AW4" s="556"/>
      <c r="AX4" s="556"/>
      <c r="AY4" s="1211">
        <v>0</v>
      </c>
    </row>
    <row customHeight="1" ht="23.25" hidden="1">
      <c r="A5" s="1419"/>
      <c r="B5" s="1419"/>
      <c r="C5" s="1419"/>
      <c r="D5" s="1419"/>
      <c r="E5" s="2315"/>
      <c r="F5" s="2315"/>
      <c r="G5" s="2315"/>
      <c r="H5" s="2315"/>
      <c r="I5" s="2312">
        <f>S4&amp;".1"</f>
      </c>
      <c r="J5" s="1419"/>
      <c r="K5" s="1419"/>
      <c r="L5" s="1420"/>
      <c r="P5" s="2313">
        <v>1</v>
      </c>
      <c r="Q5" s="1537"/>
      <c r="R5" s="412"/>
      <c r="S5" s="1549">
        <f>$I5</f>
      </c>
      <c r="T5" s="341" t="s">
        <v>612</v>
      </c>
      <c r="U5" s="356"/>
      <c r="V5" s="2406"/>
      <c r="W5" s="2407"/>
      <c r="X5" s="2407"/>
      <c r="Y5" s="2407"/>
      <c r="Z5" s="2407"/>
      <c r="AA5" s="2407"/>
      <c r="AB5" s="2407"/>
      <c r="AC5" s="2407"/>
      <c r="AD5" s="2407"/>
      <c r="AE5" s="2407"/>
      <c r="AF5" s="2408"/>
      <c r="AG5" s="2409"/>
      <c r="AH5" s="2410"/>
      <c r="AI5" s="2410"/>
      <c r="AJ5" s="2410"/>
      <c r="AK5" s="2410"/>
      <c r="AL5" s="2410"/>
      <c r="AM5" s="2410"/>
      <c r="AN5" s="2410"/>
      <c r="AO5" s="2410"/>
      <c r="AP5" s="2410"/>
      <c r="AQ5" s="2410"/>
      <c r="AR5" s="2411"/>
      <c r="AS5" s="1314" t="s">
        <v>613</v>
      </c>
      <c r="AU5" s="556"/>
      <c r="AV5" s="556" t="str">
        <f>IF(T5="","",T5)</f>
        <v>Наименование признака дифференциации</v>
      </c>
      <c r="AW5" s="556"/>
      <c r="AX5" s="556"/>
      <c r="AY5" s="1211">
        <v>0</v>
      </c>
    </row>
    <row customHeight="1" ht="23.25" hidden="1">
      <c r="A6" s="1419"/>
      <c r="B6" s="1419"/>
      <c r="C6" s="1419"/>
      <c r="D6" s="1419"/>
      <c r="E6" s="2315"/>
      <c r="F6" s="2315"/>
      <c r="G6" s="2315"/>
      <c r="H6" s="2315"/>
      <c r="I6" s="2342"/>
      <c r="J6" s="2312">
        <f>I5&amp;".1"</f>
      </c>
      <c r="K6" s="1419"/>
      <c r="L6" s="1420" t="s">
        <v>538</v>
      </c>
      <c r="P6" s="2313"/>
      <c r="Q6" s="2313">
        <v>1</v>
      </c>
      <c r="R6" s="413"/>
      <c r="S6" s="1549">
        <f>$J6</f>
      </c>
      <c r="T6" s="342" t="s">
        <v>539</v>
      </c>
      <c r="U6" s="356"/>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363" t="s">
        <v>614</v>
      </c>
      <c r="AU6" s="556"/>
      <c r="AV6" s="556" t="str">
        <f>IF(T6="","",T6)</f>
        <v>Группа потребителей</v>
      </c>
      <c r="AW6" s="556"/>
      <c r="AX6" s="556"/>
      <c r="AY6" s="1211">
        <v>0</v>
      </c>
    </row>
    <row customHeight="1" ht="23.25" hidden="1">
      <c r="A7" s="1419"/>
      <c r="B7" s="1419"/>
      <c r="C7" s="1419"/>
      <c r="D7" s="1419"/>
      <c r="E7" s="2315"/>
      <c r="F7" s="2315"/>
      <c r="G7" s="2315"/>
      <c r="H7" s="2315"/>
      <c r="I7" s="2342"/>
      <c r="J7" s="2342"/>
      <c r="K7" s="2312">
        <f>J6&amp;".1"</f>
      </c>
      <c r="L7" s="1420"/>
      <c r="P7" s="2313"/>
      <c r="Q7" s="2313"/>
      <c r="R7" s="413">
        <v>1</v>
      </c>
      <c r="S7" s="1549">
        <f>$K7</f>
      </c>
      <c r="T7" s="1493"/>
      <c r="U7" s="356"/>
      <c r="V7" s="807"/>
      <c r="W7" s="807"/>
      <c r="X7" s="807"/>
      <c r="Y7" s="807"/>
      <c r="Z7" s="807"/>
      <c r="AA7" s="807"/>
      <c r="AB7" s="807"/>
      <c r="AC7" s="2321"/>
      <c r="AD7" s="2163" t="s">
        <v>65</v>
      </c>
      <c r="AE7" s="2321"/>
      <c r="AF7" s="2163" t="s">
        <v>65</v>
      </c>
      <c r="AG7" s="807"/>
      <c r="AH7" s="807"/>
      <c r="AI7" s="807"/>
      <c r="AJ7" s="807"/>
      <c r="AK7" s="807"/>
      <c r="AL7" s="807"/>
      <c r="AM7" s="807"/>
      <c r="AN7" s="2321"/>
      <c r="AO7" s="2163" t="s">
        <v>65</v>
      </c>
      <c r="AP7" s="2343"/>
      <c r="AQ7" s="2163" t="s">
        <v>65</v>
      </c>
      <c r="AR7" s="1494"/>
      <c r="AS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67">
        <f>STRCHECKDATE(V8:AR8)</f>
      </c>
      <c r="AU7" s="556"/>
      <c r="AV7" s="556" t="str">
        <f>IF(T7="","",T7)</f>
        <v/>
      </c>
      <c r="AW7" s="556"/>
      <c r="AX7" s="556"/>
      <c r="AY7" s="1211">
        <v>0</v>
      </c>
    </row>
    <row customHeight="1" ht="14.25" hidden="1">
      <c r="A8" s="1419"/>
      <c r="B8" s="1419"/>
      <c r="C8" s="1419"/>
      <c r="D8" s="1419"/>
      <c r="E8" s="2315"/>
      <c r="F8" s="2315"/>
      <c r="G8" s="2315"/>
      <c r="H8" s="2315"/>
      <c r="I8" s="2342"/>
      <c r="J8" s="2342"/>
      <c r="K8" s="2312"/>
      <c r="L8" s="1420"/>
      <c r="P8" s="2313"/>
      <c r="Q8" s="2313"/>
      <c r="R8" s="413"/>
      <c r="S8" s="1546"/>
      <c r="T8" s="356"/>
      <c r="U8" s="356"/>
      <c r="V8" s="381"/>
      <c r="W8" s="381"/>
      <c r="X8" s="381"/>
      <c r="Y8" s="381"/>
      <c r="Z8" s="381"/>
      <c r="AA8" s="381"/>
      <c r="AB8" s="381"/>
      <c r="AC8" s="2322"/>
      <c r="AD8" s="2163"/>
      <c r="AE8" s="2322"/>
      <c r="AF8" s="2163"/>
      <c r="AG8" s="381"/>
      <c r="AH8" s="381"/>
      <c r="AI8" s="381"/>
      <c r="AJ8" s="381"/>
      <c r="AK8" s="381"/>
      <c r="AL8" s="381"/>
      <c r="AM8" s="381"/>
      <c r="AN8" s="2322"/>
      <c r="AO8" s="2163"/>
      <c r="AP8" s="2344"/>
      <c r="AQ8" s="2163"/>
      <c r="AR8" s="1495"/>
      <c r="AS8" s="2405"/>
      <c r="AU8" s="556"/>
      <c r="AV8" s="556" t="str">
        <f>IF(T8="","",T8)</f>
        <v/>
      </c>
      <c r="AW8" s="556"/>
      <c r="AX8" s="556"/>
      <c r="AY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656"/>
      <c r="X9" s="656"/>
      <c r="Y9" s="656"/>
      <c r="Z9" s="656"/>
      <c r="AA9" s="656"/>
      <c r="AB9" s="656"/>
      <c r="AC9" s="423"/>
      <c r="AD9" s="423"/>
      <c r="AE9" s="423"/>
      <c r="AF9" s="423"/>
      <c r="AG9" s="423"/>
      <c r="AH9" s="656"/>
      <c r="AI9" s="656"/>
      <c r="AJ9" s="656"/>
      <c r="AK9" s="656"/>
      <c r="AL9" s="656"/>
      <c r="AM9" s="423"/>
      <c r="AN9" s="423"/>
      <c r="AO9" s="423"/>
      <c r="AP9" s="423"/>
      <c r="AQ9" s="423"/>
      <c r="AR9" s="423"/>
      <c r="AS9" s="1314" t="s">
        <v>616</v>
      </c>
      <c r="AU9" s="556"/>
      <c r="AV9" s="556" t="str">
        <f>IF(T9="","",T9)</f>
        <v>Добавить значение признака дифференциации</v>
      </c>
      <c r="AW9" s="556"/>
      <c r="AX9" s="556"/>
      <c r="AY9" s="1211">
        <v>0</v>
      </c>
    </row>
    <row customHeight="1" ht="21" hidden="1">
      <c r="A10" s="1419"/>
      <c r="B10" s="1419"/>
      <c r="C10" s="1419"/>
      <c r="D10" s="1419"/>
      <c r="E10" s="2315"/>
      <c r="F10" s="2315"/>
      <c r="G10" s="2315"/>
      <c r="H10" s="2315"/>
      <c r="I10" s="2312"/>
      <c r="J10" s="1419"/>
      <c r="K10" s="1419"/>
      <c r="L10" s="1420"/>
      <c r="P10" s="2313"/>
      <c r="Q10" s="1537"/>
      <c r="R10" s="412"/>
      <c r="S10" s="1334"/>
      <c r="T10" s="421" t="s">
        <v>544</v>
      </c>
      <c r="U10" s="423"/>
      <c r="V10" s="423"/>
      <c r="W10" s="656"/>
      <c r="X10" s="656"/>
      <c r="Y10" s="656"/>
      <c r="Z10" s="656"/>
      <c r="AA10" s="656"/>
      <c r="AB10" s="656"/>
      <c r="AC10" s="423"/>
      <c r="AD10" s="423"/>
      <c r="AE10" s="423"/>
      <c r="AF10" s="422"/>
      <c r="AG10" s="423"/>
      <c r="AH10" s="656"/>
      <c r="AI10" s="656"/>
      <c r="AJ10" s="656"/>
      <c r="AK10" s="656"/>
      <c r="AL10" s="656"/>
      <c r="AM10" s="423"/>
      <c r="AN10" s="423"/>
      <c r="AO10" s="423"/>
      <c r="AP10" s="423"/>
      <c r="AQ10" s="422"/>
      <c r="AR10" s="423"/>
      <c r="AS10" s="1496"/>
      <c r="AU10" s="556"/>
      <c r="AV10" s="556" t="str">
        <f>IF(T10="","",T10)</f>
        <v>Добавить группу потребителей</v>
      </c>
      <c r="AW10" s="556"/>
      <c r="AX10" s="556"/>
      <c r="AY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656"/>
      <c r="X11" s="656"/>
      <c r="Y11" s="656"/>
      <c r="Z11" s="656"/>
      <c r="AA11" s="656"/>
      <c r="AB11" s="656"/>
      <c r="AC11" s="423"/>
      <c r="AD11" s="423"/>
      <c r="AE11" s="423"/>
      <c r="AF11" s="422"/>
      <c r="AG11" s="423"/>
      <c r="AH11" s="656"/>
      <c r="AI11" s="656"/>
      <c r="AJ11" s="656"/>
      <c r="AK11" s="656"/>
      <c r="AL11" s="656"/>
      <c r="AM11" s="423"/>
      <c r="AN11" s="423"/>
      <c r="AO11" s="423"/>
      <c r="AP11" s="423"/>
      <c r="AQ11" s="422"/>
      <c r="AR11" s="423"/>
      <c r="AS11" s="359"/>
      <c r="AU11" s="556"/>
      <c r="AV11" s="556" t="str">
        <f>IF(T11="","",T11)</f>
        <v>Добавить наименование признака дифференциации</v>
      </c>
      <c r="AW11" s="556"/>
      <c r="AX11" s="556"/>
      <c r="AY11" s="1211">
        <v>0</v>
      </c>
    </row>
    <row s="2851" customFormat="1" customHeight="1" ht="14.25" hidden="1">
      <c r="A12" s="1399"/>
      <c r="B12" s="1399"/>
      <c r="C12" s="1370"/>
      <c r="D12" s="1370"/>
      <c r="E12" s="2315"/>
      <c r="F12" s="2314"/>
      <c r="G12" s="1370"/>
      <c r="H12" s="1370"/>
      <c r="I12" s="1370"/>
      <c r="J12" s="1370"/>
      <c r="K12" s="1370"/>
      <c r="L12" s="1550"/>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U12" s="845"/>
      <c r="AV12" s="845" t="str">
        <f>IF(T12="","",T12)</f>
        <v>Добавить централизованную систему для дифференциации</v>
      </c>
      <c r="AW12" s="845"/>
      <c r="AX12" s="845"/>
      <c r="AY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U13" s="556"/>
      <c r="AV13" s="556" t="str">
        <f>IF(T13="","",T13)</f>
        <v>Добавить территорию для дифференциации</v>
      </c>
      <c r="AW13" s="556"/>
      <c r="AX13" s="556"/>
      <c r="AY13" s="567">
        <v>0</v>
      </c>
    </row>
    <row customHeight="1" ht="14.25" hidden="1">
      <c r="AF14" s="383"/>
      <c r="AQ14" s="383"/>
      <c r="AY14" s="1211">
        <v>0</v>
      </c>
    </row>
    <row customHeight="1" ht="14.25" hidden="1">
      <c r="AG15" s="1416"/>
      <c r="AH15" s="1416"/>
      <c r="AI15" s="1416"/>
      <c r="AJ15" s="1416"/>
      <c r="AK15" s="1416"/>
      <c r="AL15" s="1416"/>
      <c r="AM15" s="1416"/>
      <c r="AN15" s="2323"/>
      <c r="AO15" s="2324" t="s">
        <v>65</v>
      </c>
      <c r="AP15" s="2323"/>
      <c r="AQ15" s="2324" t="s">
        <v>65</v>
      </c>
      <c r="AY15" s="1211">
        <v>0</v>
      </c>
    </row>
    <row customHeight="1" ht="14.25" hidden="1">
      <c r="AG16" s="1416"/>
      <c r="AH16" s="1416"/>
      <c r="AI16" s="1416"/>
      <c r="AJ16" s="1416"/>
      <c r="AK16" s="1416"/>
      <c r="AL16" s="1416"/>
      <c r="AM16" s="1416"/>
      <c r="AN16" s="2324"/>
      <c r="AO16" s="2324"/>
      <c r="AP16" s="2324"/>
      <c r="AQ16" s="2324"/>
      <c r="AY16" s="1211">
        <v>0</v>
      </c>
    </row>
    <row customHeight="1" ht="14.25" hidden="1">
      <c r="AQ17" s="383"/>
      <c r="AY17" s="1211">
        <v>0</v>
      </c>
    </row>
    <row s="2850" customFormat="1" customHeight="1" ht="22.5" hidden="1">
      <c r="L18" s="1534"/>
      <c r="M18" s="1418"/>
      <c r="N18" s="1418"/>
      <c r="O18" s="1423" t="s">
        <v>547</v>
      </c>
      <c r="P18" s="1418"/>
      <c r="Q18" s="1427"/>
      <c r="R18" s="1427"/>
      <c r="S18" s="785"/>
      <c r="W18" s="1422"/>
      <c r="X18" s="1422"/>
      <c r="Y18" s="1422"/>
      <c r="Z18" s="1422"/>
      <c r="AA18" s="1422"/>
      <c r="AB18" s="1422"/>
      <c r="AC18" s="1423"/>
      <c r="AE18" s="1423"/>
      <c r="AF18" s="1422"/>
      <c r="AH18" s="1422"/>
      <c r="AI18" s="1422"/>
      <c r="AJ18" s="1422"/>
      <c r="AK18" s="1422"/>
      <c r="AL18" s="1422"/>
      <c r="AN18" s="1423"/>
      <c r="AP18" s="1423"/>
      <c r="AQ18" s="1422"/>
      <c r="AT18" s="567"/>
      <c r="AU18" s="567"/>
      <c r="AV18" s="567"/>
      <c r="AW18" s="567"/>
      <c r="AX18" s="567"/>
      <c r="AY18" s="1216">
        <v>0</v>
      </c>
    </row>
    <row s="2850" customFormat="1" customHeight="1" ht="14.25" hidden="1">
      <c r="L19" s="1534"/>
      <c r="M19" s="1418"/>
      <c r="N19" s="1418"/>
      <c r="O19" s="1418"/>
      <c r="P19" s="1418"/>
      <c r="Q19" s="1427"/>
      <c r="R19" s="1427"/>
      <c r="S19" s="785"/>
      <c r="W19" s="1422"/>
      <c r="X19" s="1422"/>
      <c r="Y19" s="1422"/>
      <c r="Z19" s="1422"/>
      <c r="AA19" s="1422"/>
      <c r="AB19" s="1422"/>
      <c r="AF19" s="1422"/>
      <c r="AH19" s="1422"/>
      <c r="AI19" s="1422"/>
      <c r="AJ19" s="1422"/>
      <c r="AK19" s="1422"/>
      <c r="AL19" s="1422"/>
      <c r="AQ19" s="1422"/>
      <c r="AT19" s="567"/>
      <c r="AU19" s="567"/>
      <c r="AV19" s="567"/>
      <c r="AW19" s="567"/>
      <c r="AX19" s="567"/>
      <c r="AY19" s="1216">
        <v>0</v>
      </c>
    </row>
    <row s="2850" customFormat="1" customHeight="1" ht="12" hidden="1">
      <c r="L20" s="1534"/>
      <c r="M20" s="1418"/>
      <c r="N20" s="1418"/>
      <c r="O20" s="1420" t="s">
        <v>548</v>
      </c>
      <c r="P20" s="1418"/>
      <c r="Q20" s="1498"/>
      <c r="R20" s="1498"/>
      <c r="S20" s="785"/>
      <c r="T20" s="1216" t="s">
        <v>549</v>
      </c>
      <c r="W20" s="1422"/>
      <c r="X20" s="1422"/>
      <c r="Y20" s="1422"/>
      <c r="Z20" s="1422"/>
      <c r="AA20" s="1422"/>
      <c r="AB20" s="1422"/>
      <c r="AD20" s="242" t="s">
        <v>550</v>
      </c>
      <c r="AF20" s="242" t="s">
        <v>551</v>
      </c>
      <c r="AG20" s="1216" t="s">
        <v>549</v>
      </c>
      <c r="AH20" s="1422"/>
      <c r="AI20" s="1422"/>
      <c r="AJ20" s="1422"/>
      <c r="AK20" s="1422"/>
      <c r="AL20" s="1422"/>
      <c r="AO20" s="242" t="s">
        <v>552</v>
      </c>
      <c r="AQ20" s="242" t="s">
        <v>551</v>
      </c>
      <c r="AY20" s="1216">
        <v>0</v>
      </c>
    </row>
    <row customHeight="1" ht="14.25" hidden="1">
      <c r="O21" s="1420"/>
      <c r="AY21" s="1211">
        <v>0</v>
      </c>
    </row>
    <row customHeight="1" ht="14.25" hidden="1">
      <c r="O22" s="1420"/>
      <c r="AY22" s="1211">
        <v>0</v>
      </c>
    </row>
    <row customHeight="1" ht="14.699999999999998">
      <c r="Q23" s="432"/>
      <c r="R23" s="432"/>
      <c r="S23" s="1331"/>
      <c r="T23" s="419"/>
      <c r="U23" s="419"/>
      <c r="V23" s="565"/>
      <c r="W23" s="1691"/>
      <c r="X23" s="1691"/>
      <c r="Y23" s="1691"/>
      <c r="Z23" s="1691"/>
      <c r="AA23" s="1691"/>
      <c r="AB23" s="1691"/>
      <c r="AC23" s="565"/>
      <c r="AD23" s="565"/>
      <c r="AE23" s="565"/>
      <c r="AF23" s="565"/>
      <c r="AG23" s="565"/>
      <c r="AH23" s="1691"/>
      <c r="AI23" s="1691"/>
      <c r="AJ23" s="1691"/>
      <c r="AK23" s="1691"/>
      <c r="AL23" s="1691"/>
      <c r="AM23" s="565"/>
      <c r="AN23" s="565"/>
      <c r="AO23" s="565"/>
      <c r="AP23" s="565"/>
      <c r="AQ23" s="565"/>
      <c r="AY23" s="1211">
        <v>14</v>
      </c>
    </row>
    <row customHeight="1" ht="26.25">
      <c r="Q24" s="432"/>
      <c r="R24" s="432"/>
      <c r="S24" s="23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1299"/>
      <c r="AY24" s="1211">
        <v>25</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1299"/>
      <c r="AY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565"/>
      <c r="AY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2307"/>
      <c r="AC27" s="2307"/>
      <c r="AD27" s="2307"/>
      <c r="AE27" s="2307"/>
      <c r="AF27" s="382"/>
      <c r="AG27" s="2307" t="str">
        <f>IF(TITLE_NAME_OR_PR_CHANGE="",IF(TITLE_NAME_OR_PR="","",TITLE_NAME_OR_PR),TITLE_NAME_OR_PR_CHANGE)</f>
        <v>Министерство по тарифам и ценам Курской области</v>
      </c>
      <c r="AH27" s="2307"/>
      <c r="AI27" s="2307"/>
      <c r="AJ27" s="2307"/>
      <c r="AK27" s="2307"/>
      <c r="AL27" s="2307"/>
      <c r="AM27" s="2307"/>
      <c r="AN27" s="2307"/>
      <c r="AO27" s="2307"/>
      <c r="AP27" s="2307"/>
      <c r="AQ27" s="382"/>
      <c r="AR27" s="382"/>
      <c r="AS27" s="336"/>
      <c r="AT27" s="424"/>
      <c r="AU27" s="424"/>
      <c r="AV27" s="424"/>
      <c r="AW27" s="424"/>
      <c r="AX27" s="424"/>
      <c r="AY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2320"/>
      <c r="AC28" s="2320"/>
      <c r="AD28" s="2320"/>
      <c r="AE28" s="2320"/>
      <c r="AF28" s="382"/>
      <c r="AG28" s="2320" t="str">
        <f>IF(TITLE_DATE_PR_CHANGE="",IF(TITLE_DATE_PR="","",TITLE_DATE_PR),TITLE_DATE_PR_CHANGE)</f>
        <v>45645</v>
      </c>
      <c r="AH28" s="2320"/>
      <c r="AI28" s="2320"/>
      <c r="AJ28" s="2320"/>
      <c r="AK28" s="2320"/>
      <c r="AL28" s="2320"/>
      <c r="AM28" s="2320"/>
      <c r="AN28" s="2320"/>
      <c r="AO28" s="2320"/>
      <c r="AP28" s="2320"/>
      <c r="AQ28" s="382"/>
      <c r="AR28" s="382"/>
      <c r="AS28" s="336"/>
      <c r="AT28" s="424"/>
      <c r="AU28" s="424"/>
      <c r="AV28" s="424"/>
      <c r="AW28" s="424"/>
      <c r="AX28" s="424"/>
      <c r="AY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2307"/>
      <c r="AC29" s="2307"/>
      <c r="AD29" s="2307"/>
      <c r="AE29" s="2307"/>
      <c r="AF29" s="382"/>
      <c r="AG29" s="2307" t="str">
        <f>IF(TITLE_NUMBER_PR_CHANGE="",IF(TITLE_NUMBER_PR="","",TITLE_NUMBER_PR),TITLE_NUMBER_PR_CHANGE)</f>
        <v>208-вод</v>
      </c>
      <c r="AH29" s="2307"/>
      <c r="AI29" s="2307"/>
      <c r="AJ29" s="2307"/>
      <c r="AK29" s="2307"/>
      <c r="AL29" s="2307"/>
      <c r="AM29" s="2307"/>
      <c r="AN29" s="2307"/>
      <c r="AO29" s="2307"/>
      <c r="AP29" s="2307"/>
      <c r="AQ29" s="382"/>
      <c r="AR29" s="382"/>
      <c r="AS29" s="336"/>
      <c r="AT29" s="424"/>
      <c r="AU29" s="424"/>
      <c r="AV29" s="424"/>
      <c r="AW29" s="424"/>
      <c r="AX29" s="424"/>
      <c r="AY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2307"/>
      <c r="AC30" s="2307"/>
      <c r="AD30" s="2307"/>
      <c r="AE30" s="2307"/>
      <c r="AF30" s="382"/>
      <c r="AG30" s="2307" t="str">
        <f>IF(TITLE_IST_PUB_CHANGE="",IF(TITLE_IST_PUB="","",TITLE_IST_PUB),TITLE_IST_PUB_CHANGE)</f>
        <v>Газета "Курская правда" №155 от 26.12.2024 г.</v>
      </c>
      <c r="AH30" s="2307"/>
      <c r="AI30" s="2307"/>
      <c r="AJ30" s="2307"/>
      <c r="AK30" s="2307"/>
      <c r="AL30" s="2307"/>
      <c r="AM30" s="2307"/>
      <c r="AN30" s="2307"/>
      <c r="AO30" s="2307"/>
      <c r="AP30" s="2307"/>
      <c r="AQ30" s="382"/>
      <c r="AR30" s="382"/>
      <c r="AS30" s="336"/>
      <c r="AT30" s="424"/>
      <c r="AU30" s="424"/>
      <c r="AV30" s="424"/>
      <c r="AW30" s="424"/>
      <c r="AX30" s="424"/>
      <c r="AY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565"/>
      <c r="AY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2320"/>
      <c r="AC32" s="2320"/>
      <c r="AD32" s="2320"/>
      <c r="AE32" s="2320"/>
      <c r="AF32" s="382"/>
      <c r="AG32" s="2320" t="str">
        <f>IF(TITLE_DATE_PR_CHANGE="",IF(TITLE_DATE_PR="","",TITLE_DATE_PR),TITLE_DATE_PR_CHANGE)</f>
        <v>45645</v>
      </c>
      <c r="AH32" s="2320"/>
      <c r="AI32" s="2320"/>
      <c r="AJ32" s="2320"/>
      <c r="AK32" s="2320"/>
      <c r="AL32" s="2320"/>
      <c r="AM32" s="2320"/>
      <c r="AN32" s="2320"/>
      <c r="AO32" s="2320"/>
      <c r="AP32" s="2320"/>
      <c r="AQ32" s="382"/>
      <c r="AR32" s="382"/>
      <c r="AS32" s="336"/>
      <c r="AT32" s="424"/>
      <c r="AU32" s="424"/>
      <c r="AV32" s="424"/>
      <c r="AW32" s="424"/>
      <c r="AX32" s="424"/>
      <c r="AY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2307"/>
      <c r="AC33" s="2307"/>
      <c r="AD33" s="2307"/>
      <c r="AE33" s="2307"/>
      <c r="AF33" s="382"/>
      <c r="AG33" s="2307" t="str">
        <f>IF(TITLE_NUMBER_PR_CHANGE="",IF(TITLE_NUMBER_PR="","",TITLE_NUMBER_PR),TITLE_NUMBER_PR_CHANGE)</f>
        <v>208-вод</v>
      </c>
      <c r="AH33" s="2307"/>
      <c r="AI33" s="2307"/>
      <c r="AJ33" s="2307"/>
      <c r="AK33" s="2307"/>
      <c r="AL33" s="2307"/>
      <c r="AM33" s="2307"/>
      <c r="AN33" s="2307"/>
      <c r="AO33" s="2307"/>
      <c r="AP33" s="2307"/>
      <c r="AQ33" s="382"/>
      <c r="AR33" s="382"/>
      <c r="AS33" s="336"/>
      <c r="AT33" s="424"/>
      <c r="AU33" s="424"/>
      <c r="AV33" s="424"/>
      <c r="AW33" s="424"/>
      <c r="AX33" s="424"/>
      <c r="AY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44"/>
      <c r="V34" s="382"/>
      <c r="W34" s="1691"/>
      <c r="X34" s="1691"/>
      <c r="Y34" s="1691"/>
      <c r="Z34" s="1691"/>
      <c r="AA34" s="1691"/>
      <c r="AB34" s="1691"/>
      <c r="AC34" s="382"/>
      <c r="AD34" s="382"/>
      <c r="AE34" s="382"/>
      <c r="AF34" s="334" t="s">
        <v>557</v>
      </c>
      <c r="AG34" s="382"/>
      <c r="AH34" s="1691"/>
      <c r="AI34" s="1691"/>
      <c r="AJ34" s="1691"/>
      <c r="AK34" s="1691"/>
      <c r="AL34" s="1691"/>
      <c r="AM34" s="382"/>
      <c r="AN34" s="382"/>
      <c r="AO34" s="382"/>
      <c r="AP34" s="382"/>
      <c r="AQ34" s="334" t="s">
        <v>557</v>
      </c>
      <c r="AT34" s="424"/>
      <c r="AU34" s="424"/>
      <c r="AV34" s="424"/>
      <c r="AW34" s="424"/>
      <c r="AX34" s="424"/>
      <c r="AY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Y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c r="AL36" s="2183"/>
      <c r="AM36" s="2183"/>
      <c r="AN36" s="2183"/>
      <c r="AO36" s="2183"/>
      <c r="AP36" s="2183"/>
      <c r="AQ36" s="2183"/>
      <c r="AR36" s="2183"/>
      <c r="AS36" s="2183" t="s">
        <v>433</v>
      </c>
      <c r="AY36" s="1211">
        <v>14</v>
      </c>
    </row>
    <row customHeight="1" ht="14.699999999999998">
      <c r="Q37" s="432"/>
      <c r="R37" s="432"/>
      <c r="S37" s="2329" t="s">
        <v>92</v>
      </c>
      <c r="T37" s="2265" t="s">
        <v>558</v>
      </c>
      <c r="U37" s="357"/>
      <c r="V37" s="2330" t="s">
        <v>559</v>
      </c>
      <c r="W37" s="2347"/>
      <c r="X37" s="2347"/>
      <c r="Y37" s="2347"/>
      <c r="Z37" s="2347"/>
      <c r="AA37" s="2347"/>
      <c r="AB37" s="2347"/>
      <c r="AC37" s="2331"/>
      <c r="AD37" s="2331"/>
      <c r="AE37" s="2332"/>
      <c r="AF37" s="2333" t="s">
        <v>560</v>
      </c>
      <c r="AG37" s="2330" t="s">
        <v>559</v>
      </c>
      <c r="AH37" s="2331"/>
      <c r="AI37" s="2331"/>
      <c r="AJ37" s="2331"/>
      <c r="AK37" s="2331"/>
      <c r="AL37" s="2331"/>
      <c r="AM37" s="2331"/>
      <c r="AN37" s="2331"/>
      <c r="AO37" s="2331"/>
      <c r="AP37" s="2332"/>
      <c r="AQ37" s="2333" t="s">
        <v>561</v>
      </c>
      <c r="AR37" s="2336" t="s">
        <v>562</v>
      </c>
      <c r="AS37" s="2183"/>
      <c r="AY37" s="1211">
        <v>14</v>
      </c>
    </row>
    <row customHeight="1" ht="19.95">
      <c r="Q38" s="432"/>
      <c r="R38" s="432"/>
      <c r="S38" s="2329"/>
      <c r="T38" s="2265"/>
      <c r="U38" s="1087"/>
      <c r="V38" s="2422" t="s">
        <v>665</v>
      </c>
      <c r="W38" s="2421" t="s">
        <v>666</v>
      </c>
      <c r="X38" s="2421"/>
      <c r="Y38" s="2421"/>
      <c r="Z38" s="2421" t="s">
        <v>667</v>
      </c>
      <c r="AA38" s="2421"/>
      <c r="AB38" s="2421"/>
      <c r="AC38" s="2350" t="s">
        <v>566</v>
      </c>
      <c r="AD38" s="2369"/>
      <c r="AE38" s="2370"/>
      <c r="AF38" s="2334"/>
      <c r="AG38" s="2422" t="s">
        <v>665</v>
      </c>
      <c r="AH38" s="2421" t="s">
        <v>666</v>
      </c>
      <c r="AI38" s="2421"/>
      <c r="AJ38" s="2421"/>
      <c r="AK38" s="2421" t="s">
        <v>667</v>
      </c>
      <c r="AL38" s="2421"/>
      <c r="AM38" s="2421"/>
      <c r="AN38" s="2350" t="s">
        <v>566</v>
      </c>
      <c r="AO38" s="2369"/>
      <c r="AP38" s="2370"/>
      <c r="AQ38" s="2334"/>
      <c r="AR38" s="2337"/>
      <c r="AS38" s="2183"/>
      <c r="AY38" s="1211">
        <v>19</v>
      </c>
    </row>
    <row s="2774" customFormat="1" customHeight="1" ht="19.95">
      <c r="A39" s="1422"/>
      <c r="B39" s="1422"/>
      <c r="C39" s="1422"/>
      <c r="D39" s="1422"/>
      <c r="E39" s="1422"/>
      <c r="F39" s="1422"/>
      <c r="G39" s="1422"/>
      <c r="H39" s="1422"/>
      <c r="I39" s="1422"/>
      <c r="J39" s="1422"/>
      <c r="K39" s="1422"/>
      <c r="L39" s="2007"/>
      <c r="M39" s="1418"/>
      <c r="N39" s="1418"/>
      <c r="O39" s="1418"/>
      <c r="P39" s="2021"/>
      <c r="Q39" s="432"/>
      <c r="R39" s="432"/>
      <c r="S39" s="2329"/>
      <c r="T39" s="2265"/>
      <c r="U39" s="1087"/>
      <c r="V39" s="2422"/>
      <c r="W39" s="2421" t="s">
        <v>668</v>
      </c>
      <c r="X39" s="2421" t="s">
        <v>669</v>
      </c>
      <c r="Y39" s="2421"/>
      <c r="Z39" s="2421" t="s">
        <v>670</v>
      </c>
      <c r="AA39" s="2421" t="s">
        <v>669</v>
      </c>
      <c r="AB39" s="2421"/>
      <c r="AC39" s="2351"/>
      <c r="AD39" s="2371"/>
      <c r="AE39" s="2372"/>
      <c r="AF39" s="2334"/>
      <c r="AG39" s="2422"/>
      <c r="AH39" s="2421" t="s">
        <v>668</v>
      </c>
      <c r="AI39" s="2421" t="s">
        <v>669</v>
      </c>
      <c r="AJ39" s="2421"/>
      <c r="AK39" s="2421" t="s">
        <v>670</v>
      </c>
      <c r="AL39" s="2421" t="s">
        <v>669</v>
      </c>
      <c r="AM39" s="2421"/>
      <c r="AN39" s="2351"/>
      <c r="AO39" s="2371"/>
      <c r="AP39" s="2372"/>
      <c r="AQ39" s="2334"/>
      <c r="AR39" s="2337"/>
      <c r="AS39" s="2183"/>
      <c r="AT39" s="1692"/>
      <c r="AU39" s="1692"/>
      <c r="AV39" s="1692"/>
      <c r="AW39" s="1692"/>
      <c r="AX39" s="1692"/>
      <c r="AY39" s="1687">
        <v>19</v>
      </c>
    </row>
    <row customHeight="1" ht="61.949999999999996">
      <c r="A40" s="1426"/>
      <c r="B40" s="1426" t="s">
        <v>214</v>
      </c>
      <c r="C40" s="1426" t="s">
        <v>215</v>
      </c>
      <c r="D40" s="1426" t="s">
        <v>216</v>
      </c>
      <c r="E40" s="1420" t="s">
        <v>567</v>
      </c>
      <c r="F40" s="1420" t="s">
        <v>568</v>
      </c>
      <c r="G40" s="1420" t="s">
        <v>569</v>
      </c>
      <c r="H40" s="1420"/>
      <c r="I40" s="1420" t="s">
        <v>619</v>
      </c>
      <c r="J40" s="1420" t="s">
        <v>572</v>
      </c>
      <c r="K40" s="1420" t="s">
        <v>620</v>
      </c>
      <c r="L40" s="1420" t="s">
        <v>548</v>
      </c>
      <c r="Q40" s="432"/>
      <c r="R40" s="432"/>
      <c r="S40" s="2329"/>
      <c r="T40" s="2265"/>
      <c r="U40" s="358"/>
      <c r="V40" s="2422"/>
      <c r="W40" s="2421"/>
      <c r="X40" s="2039" t="s">
        <v>671</v>
      </c>
      <c r="Y40" s="2039" t="s">
        <v>672</v>
      </c>
      <c r="Z40" s="2421"/>
      <c r="AA40" s="2039" t="s">
        <v>673</v>
      </c>
      <c r="AB40" s="2039" t="s">
        <v>674</v>
      </c>
      <c r="AC40" s="1545" t="s">
        <v>576</v>
      </c>
      <c r="AD40" s="2326" t="s">
        <v>577</v>
      </c>
      <c r="AE40" s="2327"/>
      <c r="AF40" s="2335"/>
      <c r="AG40" s="2422"/>
      <c r="AH40" s="2421"/>
      <c r="AI40" s="2039" t="s">
        <v>671</v>
      </c>
      <c r="AJ40" s="2039" t="s">
        <v>672</v>
      </c>
      <c r="AK40" s="2421"/>
      <c r="AL40" s="2039" t="s">
        <v>673</v>
      </c>
      <c r="AM40" s="2039" t="s">
        <v>674</v>
      </c>
      <c r="AN40" s="1545" t="s">
        <v>576</v>
      </c>
      <c r="AO40" s="2326" t="s">
        <v>577</v>
      </c>
      <c r="AP40" s="2327"/>
      <c r="AQ40" s="2335"/>
      <c r="AR40" s="2338"/>
      <c r="AS40" s="2183"/>
      <c r="AY40" s="1211">
        <v>59</v>
      </c>
    </row>
    <row s="3442" customFormat="1" customHeight="1" ht="11.25" hidden="1">
      <c r="A41" s="1426"/>
      <c r="B41" s="1426"/>
      <c r="C41" s="1426"/>
      <c r="D41" s="1426"/>
      <c r="E41" s="1426"/>
      <c r="F41" s="1426"/>
      <c r="G41" s="1426"/>
      <c r="H41" s="1426"/>
      <c r="I41" s="1426"/>
      <c r="J41" s="1426"/>
      <c r="K41" s="1426"/>
      <c r="L41" s="1420"/>
      <c r="M41" s="1418"/>
      <c r="N41" s="1418"/>
      <c r="O41" s="1418"/>
      <c r="P41" s="1302"/>
      <c r="Q41" s="1303"/>
      <c r="R41" s="1310">
        <v>1</v>
      </c>
      <c r="S41" s="1333" t="s">
        <v>191</v>
      </c>
      <c r="T41" s="1311" t="s">
        <v>108</v>
      </c>
      <c r="U41" s="1301" t="str">
        <f>OFFSET(U41,0,-1)</f>
        <v>2</v>
      </c>
      <c r="V41" s="1538">
        <f>OFFSET(V41,0,-1)+1</f>
        <v>3</v>
      </c>
      <c r="W41" s="1397"/>
      <c r="X41" s="1397"/>
      <c r="Y41" s="1397"/>
      <c r="Z41" s="1397"/>
      <c r="AA41" s="1397"/>
      <c r="AB41" s="1397"/>
      <c r="AC41" s="1538">
        <f>OFFSET(AC41,0,-1)+1</f>
        <v>1</v>
      </c>
      <c r="AD41" s="2328">
        <f>OFFSET(AD41,0,-1)+1</f>
        <v>2</v>
      </c>
      <c r="AE41" s="2328"/>
      <c r="AF41" s="1538">
        <f>OFFSET(AF41,0,-2)+1</f>
        <v>3</v>
      </c>
      <c r="AG41" s="1538">
        <f>OFFSET(AG41,0,-1)+1</f>
        <v>4</v>
      </c>
      <c r="AH41" s="2012"/>
      <c r="AI41" s="2012"/>
      <c r="AJ41" s="2012"/>
      <c r="AK41" s="2012"/>
      <c r="AL41" s="2012"/>
      <c r="AM41" s="1538">
        <f>OFFSET(AM41,0,-1)+1</f>
        <v>1</v>
      </c>
      <c r="AN41" s="1538">
        <f>OFFSET(AN41,0,-1)+1</f>
        <v>2</v>
      </c>
      <c r="AO41" s="2328">
        <f>OFFSET(AO41,0,-1)+1</f>
        <v>3</v>
      </c>
      <c r="AP41" s="2328"/>
      <c r="AQ41" s="1538">
        <f>OFFSET(AQ41,0,-2)+1</f>
        <v>4</v>
      </c>
      <c r="AR41" s="1301">
        <f>OFFSET(AR41,0,-1)</f>
        <v>4</v>
      </c>
      <c r="AS41" s="1538">
        <f>OFFSET(AS41,0,-1)+1</f>
        <v>5</v>
      </c>
      <c r="AT41" s="567"/>
      <c r="AU41" s="567"/>
      <c r="AV41" s="567"/>
      <c r="AW41" s="567"/>
      <c r="AX41" s="567"/>
      <c r="AY41" s="552">
        <v>0</v>
      </c>
    </row>
    <row customHeight="1" ht="24">
      <c r="A42" s="1419" t="s">
        <v>383</v>
      </c>
      <c r="B42" s="1419"/>
      <c r="C42" s="1419"/>
      <c r="D42" s="1419"/>
      <c r="E42" s="2314">
        <v>1</v>
      </c>
      <c r="F42" s="1419"/>
      <c r="G42" s="1419"/>
      <c r="H42" s="1419"/>
      <c r="I42" s="1419"/>
      <c r="J42" s="1419"/>
      <c r="K42" s="1419"/>
      <c r="L42" s="1420"/>
      <c r="M42" s="1421"/>
      <c r="N42" s="1421"/>
      <c r="O42" s="1421"/>
      <c r="P42" s="417"/>
      <c r="Q42" s="416"/>
      <c r="R42" s="411"/>
      <c r="S42" s="1549">
        <f>INDEX(PT_DIFFERENTIATION_NUM_NTAR,MATCH(A42,PT_DIFFERENTIATION_NTAR_ID,0))</f>
        <v>0</v>
      </c>
      <c r="T42" s="354" t="s">
        <v>202</v>
      </c>
      <c r="U42" s="356"/>
      <c r="V42" s="2298"/>
      <c r="W42" s="2299"/>
      <c r="X42" s="2299"/>
      <c r="Y42" s="2299"/>
      <c r="Z42" s="2299"/>
      <c r="AA42" s="2299"/>
      <c r="AB42" s="2299"/>
      <c r="AC42" s="2299"/>
      <c r="AD42" s="2299"/>
      <c r="AE42" s="2299"/>
      <c r="AF42" s="2300"/>
      <c r="AG42" s="2298" t="str">
        <f>INDEX(PT_DIFFERENTIATION_NTAR,MATCH(A42,PT_DIFFERENTIATION_NTAR_ID,0))</f>
        <v/>
      </c>
      <c r="AH42" s="2299"/>
      <c r="AI42" s="2299"/>
      <c r="AJ42" s="2299"/>
      <c r="AK42" s="2299"/>
      <c r="AL42" s="2299"/>
      <c r="AM42" s="2299"/>
      <c r="AN42" s="2299"/>
      <c r="AO42" s="2299"/>
      <c r="AP42" s="2299"/>
      <c r="AQ42" s="2299"/>
      <c r="AR42" s="2300"/>
      <c r="AS4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56"/>
      <c r="AV42" s="556" t="str">
        <f>IF(T42="","",T42)</f>
        <v>Наименование тарифа</v>
      </c>
      <c r="AW42" s="556"/>
      <c r="AX42" s="556"/>
      <c r="AY42" s="1211">
        <v>23</v>
      </c>
    </row>
    <row customHeight="1" ht="24">
      <c r="A43" s="1419" t="s">
        <v>383</v>
      </c>
      <c r="B43" s="1419" t="s">
        <v>384</v>
      </c>
      <c r="C43" s="1419"/>
      <c r="D43" s="1419"/>
      <c r="E43" s="2315"/>
      <c r="F43" s="2314">
        <v>1</v>
      </c>
      <c r="G43" s="1419"/>
      <c r="H43" s="1419"/>
      <c r="I43" s="1419"/>
      <c r="J43" s="1419"/>
      <c r="K43" s="1419"/>
      <c r="L43" s="1420"/>
      <c r="M43" s="1421"/>
      <c r="N43" s="1421"/>
      <c r="O43" s="1421"/>
      <c r="P43" s="1543"/>
      <c r="Q43" s="408"/>
      <c r="R43" s="409"/>
      <c r="S43" s="1549" t="str">
        <f>INDEX(PT_DIFFERENTIATION_NUM_TER,MATCH(B43,PT_DIFFERENTIATION_TER_ID,0))</f>
        <v>.</v>
      </c>
      <c r="T43" s="364" t="s">
        <v>529</v>
      </c>
      <c r="U43" s="356"/>
      <c r="V43" s="2298"/>
      <c r="W43" s="2299"/>
      <c r="X43" s="2299"/>
      <c r="Y43" s="2299"/>
      <c r="Z43" s="2299"/>
      <c r="AA43" s="2299"/>
      <c r="AB43" s="2299"/>
      <c r="AC43" s="2299"/>
      <c r="AD43" s="2299"/>
      <c r="AE43" s="2299"/>
      <c r="AF43" s="2300"/>
      <c r="AG43" s="2298" t="str">
        <f>INDEX(PT_DIFFERENTIATION_TER,MATCH(B43,PT_DIFFERENTIATION_TER_ID,0))</f>
        <v/>
      </c>
      <c r="AH43" s="2299"/>
      <c r="AI43" s="2299"/>
      <c r="AJ43" s="2299"/>
      <c r="AK43" s="2299"/>
      <c r="AL43" s="2299"/>
      <c r="AM43" s="2299"/>
      <c r="AN43" s="2299"/>
      <c r="AO43" s="2299"/>
      <c r="AP43" s="2299"/>
      <c r="AQ43" s="2299"/>
      <c r="AR43" s="2300"/>
      <c r="AS43" s="1314" t="s">
        <v>530</v>
      </c>
      <c r="AU43" s="556"/>
      <c r="AV43" s="556" t="str">
        <f>IF(T43="","",T43)</f>
        <v>Территория действия тарифа</v>
      </c>
      <c r="AW43" s="556"/>
      <c r="AX43" s="556"/>
      <c r="AY43" s="1211">
        <v>23</v>
      </c>
    </row>
    <row customHeight="1" ht="24">
      <c r="A44" s="1419" t="s">
        <v>383</v>
      </c>
      <c r="B44" s="1419" t="s">
        <v>384</v>
      </c>
      <c r="C44" s="1419" t="s">
        <v>385</v>
      </c>
      <c r="D44" s="1419"/>
      <c r="E44" s="2315"/>
      <c r="F44" s="2315"/>
      <c r="G44" s="2314">
        <v>1</v>
      </c>
      <c r="H44" s="1419"/>
      <c r="I44" s="1419"/>
      <c r="J44" s="1419"/>
      <c r="K44" s="1419"/>
      <c r="L44" s="1420"/>
      <c r="M44" s="1421"/>
      <c r="N44" s="1421"/>
      <c r="O44" s="1421"/>
      <c r="P44" s="410"/>
      <c r="Q44" s="408"/>
      <c r="R44" s="409"/>
      <c r="S44" s="1549" t="str">
        <f>INDEX(PT_DIFFERENTIATION_NUM_CS,MATCH(C44,PT_DIFFERENTIATION_CS_ID,0))</f>
        <v>..</v>
      </c>
      <c r="T44" s="365" t="s">
        <v>663</v>
      </c>
      <c r="U44" s="356"/>
      <c r="V44" s="2298"/>
      <c r="W44" s="2299"/>
      <c r="X44" s="2299"/>
      <c r="Y44" s="2299"/>
      <c r="Z44" s="2299"/>
      <c r="AA44" s="2299"/>
      <c r="AB44" s="2299"/>
      <c r="AC44" s="2299"/>
      <c r="AD44" s="2299"/>
      <c r="AE44" s="2299"/>
      <c r="AF44" s="2300"/>
      <c r="AG44" s="2298" t="str">
        <f>INDEX(PT_DIFFERENTIATION_CS,MATCH(C44,PT_DIFFERENTIATION_CS_ID,0))</f>
        <v/>
      </c>
      <c r="AH44" s="2299"/>
      <c r="AI44" s="2299"/>
      <c r="AJ44" s="2299"/>
      <c r="AK44" s="2299"/>
      <c r="AL44" s="2299"/>
      <c r="AM44" s="2299"/>
      <c r="AN44" s="2299"/>
      <c r="AO44" s="2299"/>
      <c r="AP44" s="2299"/>
      <c r="AQ44" s="2299"/>
      <c r="AR44" s="2300"/>
      <c r="AS44" s="1314" t="s">
        <v>664</v>
      </c>
      <c r="AU44" s="556"/>
      <c r="AV44" s="556" t="str">
        <f>IF(T44="","",T44)</f>
        <v>Наименование централизованной системы горячего водоснабжения</v>
      </c>
      <c r="AW44" s="556"/>
      <c r="AX44" s="556"/>
      <c r="AY44" s="1211">
        <v>23</v>
      </c>
    </row>
    <row customHeight="1" ht="24">
      <c r="A45" s="1419" t="s">
        <v>383</v>
      </c>
      <c r="B45" s="1419" t="s">
        <v>384</v>
      </c>
      <c r="C45" s="1419" t="s">
        <v>385</v>
      </c>
      <c r="D45" s="1419" t="s">
        <v>675</v>
      </c>
      <c r="E45" s="2315"/>
      <c r="F45" s="2315"/>
      <c r="G45" s="2315"/>
      <c r="H45" s="2315"/>
      <c r="I45" s="2312" t="str">
        <f>S44&amp;".1"</f>
        <v>...1</v>
      </c>
      <c r="J45" s="1419"/>
      <c r="K45" s="1419"/>
      <c r="L45" s="1420"/>
      <c r="P45" s="2313">
        <v>1</v>
      </c>
      <c r="Q45" s="1537"/>
      <c r="R45" s="412"/>
      <c r="S45" s="1549" t="str">
        <f>$I45</f>
        <v>...1</v>
      </c>
      <c r="T45" s="341" t="s">
        <v>612</v>
      </c>
      <c r="U45" s="356"/>
      <c r="V45" s="2406"/>
      <c r="W45" s="2407"/>
      <c r="X45" s="2407"/>
      <c r="Y45" s="2407"/>
      <c r="Z45" s="2407"/>
      <c r="AA45" s="2407"/>
      <c r="AB45" s="2407"/>
      <c r="AC45" s="2407"/>
      <c r="AD45" s="2407"/>
      <c r="AE45" s="2407"/>
      <c r="AF45" s="2408"/>
      <c r="AG45" s="2409"/>
      <c r="AH45" s="2410"/>
      <c r="AI45" s="2410"/>
      <c r="AJ45" s="2410"/>
      <c r="AK45" s="2410"/>
      <c r="AL45" s="2410"/>
      <c r="AM45" s="2410"/>
      <c r="AN45" s="2410"/>
      <c r="AO45" s="2410"/>
      <c r="AP45" s="2410"/>
      <c r="AQ45" s="2410"/>
      <c r="AR45" s="2411"/>
      <c r="AS45" s="1314" t="s">
        <v>613</v>
      </c>
      <c r="AU45" s="556"/>
      <c r="AV45" s="556" t="str">
        <f>IF(T45="","",T45)</f>
        <v>Наименование признака дифференциации</v>
      </c>
      <c r="AW45" s="556"/>
      <c r="AX45" s="556"/>
      <c r="AY45" s="1211">
        <v>23</v>
      </c>
    </row>
    <row customHeight="1" ht="24">
      <c r="A46" s="1419" t="s">
        <v>383</v>
      </c>
      <c r="B46" s="1419" t="s">
        <v>384</v>
      </c>
      <c r="C46" s="1419" t="s">
        <v>385</v>
      </c>
      <c r="D46" s="1419" t="s">
        <v>675</v>
      </c>
      <c r="E46" s="2315"/>
      <c r="F46" s="2315"/>
      <c r="G46" s="2315"/>
      <c r="H46" s="2315"/>
      <c r="I46" s="2342"/>
      <c r="J46" s="2312" t="str">
        <f>I45&amp;".1"</f>
        <v>...1.1</v>
      </c>
      <c r="K46" s="1419"/>
      <c r="L46" s="1420" t="s">
        <v>538</v>
      </c>
      <c r="P46" s="2313"/>
      <c r="Q46" s="2313">
        <v>1</v>
      </c>
      <c r="R46" s="413"/>
      <c r="S46" s="1549" t="str">
        <f>$J46</f>
        <v>...1.1</v>
      </c>
      <c r="T46" s="342" t="s">
        <v>539</v>
      </c>
      <c r="U46" s="356"/>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363" t="s">
        <v>614</v>
      </c>
      <c r="AU46" s="556"/>
      <c r="AV46" s="556" t="str">
        <f>IF(T46="","",T46)</f>
        <v>Группа потребителей</v>
      </c>
      <c r="AW46" s="556"/>
      <c r="AX46" s="556"/>
      <c r="AY46" s="1211">
        <v>23</v>
      </c>
    </row>
    <row customHeight="1" ht="24">
      <c r="A47" s="1419" t="s">
        <v>383</v>
      </c>
      <c r="B47" s="1419" t="s">
        <v>384</v>
      </c>
      <c r="C47" s="1419" t="s">
        <v>385</v>
      </c>
      <c r="D47" s="1419" t="s">
        <v>675</v>
      </c>
      <c r="E47" s="2315"/>
      <c r="F47" s="2315"/>
      <c r="G47" s="2315"/>
      <c r="H47" s="2315"/>
      <c r="I47" s="2342"/>
      <c r="J47" s="2342"/>
      <c r="K47" s="2312" t="str">
        <f>J46&amp;".1"</f>
        <v>...1.1.1</v>
      </c>
      <c r="L47" s="1420"/>
      <c r="P47" s="2313"/>
      <c r="Q47" s="2313"/>
      <c r="R47" s="413">
        <v>1</v>
      </c>
      <c r="S47" s="1549" t="str">
        <f>$K47</f>
        <v>...1.1.1</v>
      </c>
      <c r="T47" s="1493"/>
      <c r="U47" s="356"/>
      <c r="V47" s="807"/>
      <c r="W47" s="807"/>
      <c r="X47" s="807"/>
      <c r="Y47" s="807"/>
      <c r="Z47" s="807"/>
      <c r="AA47" s="807"/>
      <c r="AB47" s="807"/>
      <c r="AC47" s="2323"/>
      <c r="AD47" s="2324" t="s">
        <v>65</v>
      </c>
      <c r="AE47" s="2323"/>
      <c r="AF47" s="2324" t="s">
        <v>65</v>
      </c>
      <c r="AG47" s="807"/>
      <c r="AH47" s="807"/>
      <c r="AI47" s="807"/>
      <c r="AJ47" s="807"/>
      <c r="AK47" s="807"/>
      <c r="AL47" s="807"/>
      <c r="AM47" s="807"/>
      <c r="AN47" s="2321"/>
      <c r="AO47" s="2163" t="s">
        <v>65</v>
      </c>
      <c r="AP47" s="2343"/>
      <c r="AQ47" s="2163" t="s">
        <v>19</v>
      </c>
      <c r="AR47" s="1494"/>
      <c r="AS4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67">
        <f>STRCHECKDATE(V48:AR48)</f>
      </c>
      <c r="AU47" s="556"/>
      <c r="AV47" s="556" t="str">
        <f>IF(T47="","",T47)</f>
        <v/>
      </c>
      <c r="AW47" s="556"/>
      <c r="AX47" s="556"/>
      <c r="AY47" s="1211">
        <v>23</v>
      </c>
    </row>
    <row customHeight="1" ht="0">
      <c r="A48" s="1419" t="s">
        <v>383</v>
      </c>
      <c r="B48" s="1419" t="s">
        <v>384</v>
      </c>
      <c r="C48" s="1419" t="s">
        <v>385</v>
      </c>
      <c r="D48" s="1419" t="s">
        <v>675</v>
      </c>
      <c r="E48" s="2315"/>
      <c r="F48" s="2315"/>
      <c r="G48" s="2315"/>
      <c r="H48" s="2315"/>
      <c r="I48" s="2342"/>
      <c r="J48" s="2342"/>
      <c r="K48" s="2312"/>
      <c r="L48" s="1420"/>
      <c r="P48" s="2313"/>
      <c r="Q48" s="2313"/>
      <c r="R48" s="413"/>
      <c r="S48" s="1546"/>
      <c r="T48" s="356"/>
      <c r="U48" s="356"/>
      <c r="V48" s="1416"/>
      <c r="W48" s="1416"/>
      <c r="X48" s="1416"/>
      <c r="Y48" s="1416"/>
      <c r="Z48" s="1416"/>
      <c r="AA48" s="1416"/>
      <c r="AB48" s="1416"/>
      <c r="AC48" s="2324"/>
      <c r="AD48" s="2324"/>
      <c r="AE48" s="2324"/>
      <c r="AF48" s="2324"/>
      <c r="AG48" s="381"/>
      <c r="AH48" s="381"/>
      <c r="AI48" s="381"/>
      <c r="AJ48" s="381"/>
      <c r="AK48" s="381"/>
      <c r="AL48" s="381"/>
      <c r="AM48" s="381"/>
      <c r="AN48" s="2322"/>
      <c r="AO48" s="2163"/>
      <c r="AP48" s="2344"/>
      <c r="AQ48" s="2163"/>
      <c r="AR48" s="1495"/>
      <c r="AS48" s="2405"/>
      <c r="AU48" s="556"/>
      <c r="AV48" s="556" t="str">
        <f>IF(T48="","",T48)</f>
        <v/>
      </c>
      <c r="AW48" s="556"/>
      <c r="AX48" s="556"/>
      <c r="AY48" s="1211">
        <v>0</v>
      </c>
    </row>
    <row customHeight="1" ht="21">
      <c r="A49" s="1419" t="s">
        <v>383</v>
      </c>
      <c r="B49" s="1419" t="s">
        <v>384</v>
      </c>
      <c r="C49" s="1419" t="s">
        <v>385</v>
      </c>
      <c r="D49" s="1419" t="s">
        <v>675</v>
      </c>
      <c r="E49" s="2315"/>
      <c r="F49" s="2315"/>
      <c r="G49" s="2315"/>
      <c r="H49" s="2315"/>
      <c r="I49" s="2342"/>
      <c r="J49" s="2312"/>
      <c r="K49" s="1419"/>
      <c r="L49" s="1420"/>
      <c r="P49" s="2313"/>
      <c r="Q49" s="2313"/>
      <c r="R49" s="412"/>
      <c r="S49" s="1334"/>
      <c r="T49" s="343" t="s">
        <v>615</v>
      </c>
      <c r="U49" s="423"/>
      <c r="V49" s="423"/>
      <c r="W49" s="656"/>
      <c r="X49" s="656"/>
      <c r="Y49" s="656"/>
      <c r="Z49" s="656"/>
      <c r="AA49" s="656"/>
      <c r="AB49" s="656"/>
      <c r="AC49" s="423"/>
      <c r="AD49" s="423"/>
      <c r="AE49" s="423"/>
      <c r="AF49" s="423"/>
      <c r="AG49" s="423"/>
      <c r="AH49" s="656"/>
      <c r="AI49" s="656"/>
      <c r="AJ49" s="656"/>
      <c r="AK49" s="656"/>
      <c r="AL49" s="656"/>
      <c r="AM49" s="423"/>
      <c r="AN49" s="423"/>
      <c r="AO49" s="423"/>
      <c r="AP49" s="423"/>
      <c r="AQ49" s="423"/>
      <c r="AR49" s="423"/>
      <c r="AS49" s="1314" t="s">
        <v>616</v>
      </c>
      <c r="AU49" s="556"/>
      <c r="AV49" s="556" t="str">
        <f>IF(T49="","",T49)</f>
        <v>Добавить значение признака дифференциации</v>
      </c>
      <c r="AW49" s="556"/>
      <c r="AX49" s="556"/>
      <c r="AY49" s="1211">
        <v>20</v>
      </c>
    </row>
    <row customHeight="1" ht="22.049999999999997">
      <c r="A50" s="1419" t="s">
        <v>383</v>
      </c>
      <c r="B50" s="1419" t="s">
        <v>384</v>
      </c>
      <c r="C50" s="1419" t="s">
        <v>385</v>
      </c>
      <c r="D50" s="1419" t="s">
        <v>675</v>
      </c>
      <c r="E50" s="2315"/>
      <c r="F50" s="2315"/>
      <c r="G50" s="2315"/>
      <c r="H50" s="2315"/>
      <c r="I50" s="2312"/>
      <c r="J50" s="1419"/>
      <c r="K50" s="1419"/>
      <c r="L50" s="1420"/>
      <c r="P50" s="2313"/>
      <c r="Q50" s="1537"/>
      <c r="R50" s="412"/>
      <c r="S50" s="1334"/>
      <c r="T50" s="421" t="s">
        <v>544</v>
      </c>
      <c r="U50" s="423"/>
      <c r="V50" s="423"/>
      <c r="W50" s="656"/>
      <c r="X50" s="656"/>
      <c r="Y50" s="656"/>
      <c r="Z50" s="656"/>
      <c r="AA50" s="656"/>
      <c r="AB50" s="656"/>
      <c r="AC50" s="423"/>
      <c r="AD50" s="423"/>
      <c r="AE50" s="423"/>
      <c r="AF50" s="422"/>
      <c r="AG50" s="423"/>
      <c r="AH50" s="656"/>
      <c r="AI50" s="656"/>
      <c r="AJ50" s="656"/>
      <c r="AK50" s="656"/>
      <c r="AL50" s="656"/>
      <c r="AM50" s="423"/>
      <c r="AN50" s="423"/>
      <c r="AO50" s="423"/>
      <c r="AP50" s="423"/>
      <c r="AQ50" s="422"/>
      <c r="AR50" s="423"/>
      <c r="AS50" s="1496"/>
      <c r="AU50" s="556"/>
      <c r="AV50" s="556" t="str">
        <f>IF(T50="","",T50)</f>
        <v>Добавить группу потребителей</v>
      </c>
      <c r="AW50" s="556"/>
      <c r="AX50" s="556"/>
      <c r="AY50" s="1211">
        <v>21</v>
      </c>
    </row>
    <row customHeight="1" ht="22.049999999999997">
      <c r="A51" s="1419" t="s">
        <v>383</v>
      </c>
      <c r="B51" s="1419" t="s">
        <v>384</v>
      </c>
      <c r="C51" s="1419" t="s">
        <v>385</v>
      </c>
      <c r="D51" s="1419" t="s">
        <v>675</v>
      </c>
      <c r="E51" s="2315"/>
      <c r="F51" s="2315"/>
      <c r="G51" s="2315"/>
      <c r="H51" s="2314"/>
      <c r="I51" s="1419"/>
      <c r="J51" s="1419"/>
      <c r="K51" s="1419"/>
      <c r="L51" s="1420"/>
      <c r="M51" s="1421"/>
      <c r="N51" s="1421"/>
      <c r="O51" s="593"/>
      <c r="P51" s="416"/>
      <c r="Q51" s="431"/>
      <c r="R51" s="411"/>
      <c r="S51" s="1334"/>
      <c r="T51" s="428" t="s">
        <v>617</v>
      </c>
      <c r="U51" s="423"/>
      <c r="V51" s="423"/>
      <c r="W51" s="656"/>
      <c r="X51" s="656"/>
      <c r="Y51" s="656"/>
      <c r="Z51" s="656"/>
      <c r="AA51" s="656"/>
      <c r="AB51" s="656"/>
      <c r="AC51" s="423"/>
      <c r="AD51" s="423"/>
      <c r="AE51" s="423"/>
      <c r="AF51" s="422"/>
      <c r="AG51" s="423"/>
      <c r="AH51" s="656"/>
      <c r="AI51" s="656"/>
      <c r="AJ51" s="656"/>
      <c r="AK51" s="656"/>
      <c r="AL51" s="656"/>
      <c r="AM51" s="423"/>
      <c r="AN51" s="423"/>
      <c r="AO51" s="423"/>
      <c r="AP51" s="423"/>
      <c r="AQ51" s="422"/>
      <c r="AR51" s="423"/>
      <c r="AS51" s="359"/>
      <c r="AU51" s="556"/>
      <c r="AV51" s="556" t="str">
        <f>IF(T51="","",T51)</f>
        <v>Добавить наименование признака дифференциации</v>
      </c>
      <c r="AW51" s="556"/>
      <c r="AX51" s="556"/>
      <c r="AY51" s="1211">
        <v>21</v>
      </c>
    </row>
    <row s="2851" customFormat="1" customHeight="1" ht="0">
      <c r="A52" s="1399" t="s">
        <v>383</v>
      </c>
      <c r="B52" s="1399" t="s">
        <v>384</v>
      </c>
      <c r="C52" s="1370"/>
      <c r="D52" s="1370"/>
      <c r="E52" s="2315"/>
      <c r="F52" s="2314"/>
      <c r="G52" s="1370"/>
      <c r="H52" s="1370"/>
      <c r="I52" s="1370"/>
      <c r="J52" s="1370"/>
      <c r="K52" s="1370"/>
      <c r="L52" s="1550"/>
      <c r="M52" s="1377"/>
      <c r="N52" s="1377"/>
      <c r="P52" s="1372"/>
      <c r="Q52" s="1373"/>
      <c r="R52" s="1372"/>
      <c r="S52" s="1378"/>
      <c r="T52" s="1381" t="s">
        <v>302</v>
      </c>
      <c r="U52" s="1380"/>
      <c r="V52" s="1380"/>
      <c r="W52" s="1380"/>
      <c r="X52" s="1380"/>
      <c r="Y52" s="1380"/>
      <c r="Z52" s="1380"/>
      <c r="AA52" s="1380"/>
      <c r="AB52" s="1380"/>
      <c r="AC52" s="1380"/>
      <c r="AD52" s="1380"/>
      <c r="AE52" s="1380"/>
      <c r="AF52" s="1380"/>
      <c r="AG52" s="1380"/>
      <c r="AH52" s="1380"/>
      <c r="AI52" s="1380"/>
      <c r="AJ52" s="1380"/>
      <c r="AK52" s="1380"/>
      <c r="AL52" s="1380"/>
      <c r="AM52" s="1380"/>
      <c r="AN52" s="1380"/>
      <c r="AO52" s="1380"/>
      <c r="AP52" s="1380"/>
      <c r="AQ52" s="1380"/>
      <c r="AR52" s="1380"/>
      <c r="AS52" s="1380"/>
      <c r="AU52" s="845"/>
      <c r="AV52" s="845" t="str">
        <f>IF(T52="","",T52)</f>
        <v>Добавить централизованную систему для дифференциации</v>
      </c>
      <c r="AW52" s="845"/>
      <c r="AX52" s="845"/>
      <c r="AY52" s="574">
        <v>0</v>
      </c>
    </row>
    <row s="2851" customFormat="1" customHeight="1" ht="0">
      <c r="A53" s="1399" t="s">
        <v>383</v>
      </c>
      <c r="B53" s="1399"/>
      <c r="C53" s="1399"/>
      <c r="D53" s="1399"/>
      <c r="E53" s="2314"/>
      <c r="F53" s="1399"/>
      <c r="G53" s="1399"/>
      <c r="H53" s="1399"/>
      <c r="I53" s="1399"/>
      <c r="J53" s="1399"/>
      <c r="K53" s="1399"/>
      <c r="L53" s="1402"/>
      <c r="M53" s="1377"/>
      <c r="N53" s="1377"/>
      <c r="O53" s="574"/>
      <c r="P53" s="436"/>
      <c r="Q53" s="1400"/>
      <c r="R53" s="436"/>
      <c r="S53" s="1378"/>
      <c r="T53" s="1381" t="s">
        <v>359</v>
      </c>
      <c r="U53" s="1380"/>
      <c r="V53" s="1380"/>
      <c r="W53" s="1380"/>
      <c r="X53" s="1380"/>
      <c r="Y53" s="1380"/>
      <c r="Z53" s="1380"/>
      <c r="AA53" s="1380"/>
      <c r="AB53" s="1380"/>
      <c r="AC53" s="1380"/>
      <c r="AD53" s="1380"/>
      <c r="AE53" s="1380"/>
      <c r="AF53" s="1380"/>
      <c r="AG53" s="1380"/>
      <c r="AH53" s="1380"/>
      <c r="AI53" s="1380"/>
      <c r="AJ53" s="1380"/>
      <c r="AK53" s="1380"/>
      <c r="AL53" s="1380"/>
      <c r="AM53" s="1380"/>
      <c r="AN53" s="1380"/>
      <c r="AO53" s="1380"/>
      <c r="AP53" s="1380"/>
      <c r="AQ53" s="1380"/>
      <c r="AR53" s="1380"/>
      <c r="AS53" s="1380"/>
      <c r="AU53" s="556"/>
      <c r="AV53" s="556" t="str">
        <f>IF(T53="","",T53)</f>
        <v>Добавить территорию для дифференциации</v>
      </c>
      <c r="AW53" s="556"/>
      <c r="AX53" s="556"/>
      <c r="AY53" s="567">
        <v>0</v>
      </c>
    </row>
    <row s="2851" customFormat="1" customHeight="1" ht="0">
      <c r="A54" s="1370"/>
      <c r="B54" s="1370"/>
      <c r="C54" s="1370"/>
      <c r="D54" s="1370"/>
      <c r="E54" s="1399"/>
      <c r="F54" s="1370"/>
      <c r="G54" s="1370"/>
      <c r="H54" s="1370"/>
      <c r="I54" s="1370"/>
      <c r="J54" s="1370"/>
      <c r="K54" s="1370"/>
      <c r="L54" s="1550"/>
      <c r="M54" s="1377"/>
      <c r="N54" s="1377"/>
      <c r="P54" s="1372"/>
      <c r="Q54" s="1373"/>
      <c r="R54" s="1372"/>
      <c r="S54" s="1378"/>
      <c r="T54" s="1381" t="s">
        <v>360</v>
      </c>
      <c r="U54" s="1380"/>
      <c r="V54" s="1380"/>
      <c r="W54" s="1380"/>
      <c r="X54" s="1380"/>
      <c r="Y54" s="1380"/>
      <c r="Z54" s="1380"/>
      <c r="AA54" s="1380"/>
      <c r="AB54" s="1380"/>
      <c r="AC54" s="1380"/>
      <c r="AD54" s="1380"/>
      <c r="AE54" s="1380"/>
      <c r="AF54" s="1380"/>
      <c r="AG54" s="1380"/>
      <c r="AH54" s="1380"/>
      <c r="AI54" s="1380"/>
      <c r="AJ54" s="1380"/>
      <c r="AK54" s="1380"/>
      <c r="AL54" s="1380"/>
      <c r="AM54" s="1380"/>
      <c r="AN54" s="1380"/>
      <c r="AO54" s="1380"/>
      <c r="AP54" s="1380"/>
      <c r="AQ54" s="1380"/>
      <c r="AR54" s="1380"/>
      <c r="AS54" s="1380"/>
      <c r="AU54" s="845"/>
      <c r="AV54" s="845" t="str">
        <f>IF(T54="","",T54)</f>
        <v>Добавить наименование тарифа</v>
      </c>
      <c r="AW54" s="845"/>
      <c r="AX54" s="845"/>
      <c r="AY54" s="574">
        <v>0</v>
      </c>
    </row>
    <row customHeight="1" ht="11.549999999999999">
      <c r="M55" s="1216"/>
      <c r="N55" s="1216"/>
      <c r="O55" s="593"/>
      <c r="P55" s="1211"/>
      <c r="Q55" s="1211"/>
      <c r="R55" s="1211"/>
      <c r="S55" s="1211"/>
      <c r="AT55" s="1211"/>
      <c r="AU55" s="1211"/>
      <c r="AV55" s="1211"/>
      <c r="AW55" s="1211"/>
      <c r="AX55" s="1211"/>
      <c r="AY55" s="1211">
        <v>11</v>
      </c>
    </row>
    <row customHeight="1" ht="14.699999999999998">
      <c r="O56" s="593"/>
      <c r="S56" s="1309"/>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c r="AS56" s="2341"/>
      <c r="AY56" s="1211">
        <v>14</v>
      </c>
    </row>
    <row customHeight="1" ht="14.699999999999998">
      <c r="O57" s="593"/>
      <c r="AY57" s="1211">
        <v>14</v>
      </c>
    </row>
    <row customHeight="1" ht="14.699999999999998">
      <c r="O58" s="593"/>
      <c r="S58" s="1309"/>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Y58" s="1211">
        <v>14</v>
      </c>
    </row>
    <row customHeight="1" ht="22.5" hidden="1">
      <c r="A59" s="1216" t="s">
        <v>86</v>
      </c>
      <c r="B59" s="1216">
        <v>0</v>
      </c>
      <c r="C59" s="1216">
        <v>0</v>
      </c>
      <c r="D59" s="1216">
        <v>0</v>
      </c>
      <c r="E59" s="1216">
        <v>0</v>
      </c>
      <c r="F59" s="1216">
        <v>0</v>
      </c>
      <c r="G59" s="1216">
        <v>0</v>
      </c>
      <c r="H59" s="1216">
        <v>0</v>
      </c>
      <c r="I59" s="1216">
        <v>0</v>
      </c>
      <c r="J59" s="1216">
        <v>0</v>
      </c>
      <c r="K59" s="1216">
        <v>0</v>
      </c>
      <c r="L59" s="1534">
        <v>0</v>
      </c>
      <c r="M59" s="1418">
        <v>0</v>
      </c>
      <c r="N59" s="1418">
        <v>0</v>
      </c>
      <c r="O59" s="1418">
        <v>0</v>
      </c>
      <c r="P59" s="1529">
        <v>3</v>
      </c>
      <c r="Q59" s="400">
        <v>3</v>
      </c>
      <c r="R59" s="400">
        <v>3</v>
      </c>
      <c r="S59" s="637">
        <v>12</v>
      </c>
      <c r="T59" s="1211">
        <v>35</v>
      </c>
      <c r="U59" s="1211">
        <v>0</v>
      </c>
      <c r="V59" s="1211">
        <v>0</v>
      </c>
      <c r="W59" s="1687">
        <v>0</v>
      </c>
      <c r="X59" s="1687">
        <v>0</v>
      </c>
      <c r="Y59" s="1687">
        <v>0</v>
      </c>
      <c r="Z59" s="1687">
        <v>0</v>
      </c>
      <c r="AA59" s="1687">
        <v>0</v>
      </c>
      <c r="AB59" s="1687">
        <v>0</v>
      </c>
      <c r="AC59" s="1211">
        <v>0</v>
      </c>
      <c r="AD59" s="1211">
        <v>0</v>
      </c>
      <c r="AE59" s="1211">
        <v>0</v>
      </c>
      <c r="AF59" s="1211">
        <v>0</v>
      </c>
      <c r="AG59" s="1211">
        <v>19</v>
      </c>
      <c r="AH59" s="1687">
        <v>19</v>
      </c>
      <c r="AI59" s="1687">
        <v>19</v>
      </c>
      <c r="AJ59" s="1687">
        <v>19</v>
      </c>
      <c r="AK59" s="1687">
        <v>19</v>
      </c>
      <c r="AL59" s="1687">
        <v>19</v>
      </c>
      <c r="AM59" s="1211">
        <v>19</v>
      </c>
      <c r="AN59" s="1211">
        <v>11</v>
      </c>
      <c r="AO59" s="1211">
        <v>3</v>
      </c>
      <c r="AP59" s="1211">
        <v>11</v>
      </c>
      <c r="AQ59" s="1211">
        <v>0</v>
      </c>
      <c r="AR59" s="1211">
        <v>4</v>
      </c>
      <c r="AS59" s="1211">
        <v>115</v>
      </c>
      <c r="AT59" s="567">
        <v>10</v>
      </c>
      <c r="AU59" s="567">
        <v>10</v>
      </c>
      <c r="AV59" s="567">
        <v>10</v>
      </c>
      <c r="AW59" s="567">
        <v>10</v>
      </c>
      <c r="AX59" s="567">
        <v>10</v>
      </c>
      <c r="AY59" s="1211">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31F23E-D966-A44C-E2FE-7FA2225692F5}" mc:Ignorable="x14ac xr xr2 xr3">
  <sheetPr>
    <tabColor theme="6" tint="0.4"/>
  </sheetPr>
  <dimension ref="A1:AY59"/>
  <sheetViews>
    <sheetView topLeftCell="A1" showGridLines="0" zoomScale="9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4.140625" hidden="1" customWidth="1"/>
    <col min="10" max="10" style="2850" width="9.8515625" hidden="1" customWidth="1"/>
    <col min="11" max="11" style="2850" width="14.7109375" hidden="1" customWidth="1"/>
    <col min="12" max="12" style="3679" width="19.140625" hidden="1" customWidth="1"/>
    <col min="13" max="14" style="2792" width="12.28125" hidden="1" customWidth="1"/>
    <col min="15" max="15" style="2792" width="23.421875" hidden="1" customWidth="1"/>
    <col min="16" max="16" style="3680" width="3.00390625" customWidth="1"/>
    <col min="17" max="18" style="3677" width="3.00390625" customWidth="1"/>
    <col min="19" max="19" style="3681" width="12.00390625" customWidth="1"/>
    <col min="20" max="20" style="2774" width="35.00390625" customWidth="1"/>
    <col min="21" max="21" style="2774" width="0.140625" customWidth="1"/>
    <col min="22" max="28" style="2774" width="19.7109375" hidden="1" customWidth="1"/>
    <col min="29" max="29" style="2774" width="11.7109375" hidden="1" customWidth="1"/>
    <col min="30" max="30" style="2774" width="3.7109375" hidden="1" customWidth="1"/>
    <col min="31" max="31" style="2774" width="11.7109375" hidden="1" customWidth="1"/>
    <col min="32" max="32" style="2774" width="8.57421875" hidden="1" customWidth="1"/>
    <col min="33" max="33" style="2774" width="19.7109375" customWidth="1"/>
    <col min="34" max="39" style="2774" width="19.00390625" customWidth="1"/>
    <col min="40" max="40" style="2774" width="11.00390625" customWidth="1"/>
    <col min="41" max="41" style="2774" width="3.7109375" customWidth="1"/>
    <col min="42" max="42" style="2774" width="11.00390625" customWidth="1"/>
    <col min="43" max="43" style="2774" width="8.57421875" hidden="1" customWidth="1"/>
    <col min="44" max="44" style="2774" width="4.00390625" customWidth="1"/>
    <col min="45" max="45" style="2774" width="115.00390625" customWidth="1"/>
    <col min="46" max="50" style="2851" width="10.00390625" customWidth="1"/>
    <col min="51" max="51" style="2774" width="10.57421875" hidden="1"/>
  </cols>
  <sheetData>
    <row customHeight="1" ht="22.5" hidden="1">
      <c r="AB1" s="383"/>
      <c r="AC1" s="383"/>
      <c r="AM1" s="383"/>
      <c r="AN1" s="383"/>
      <c r="AY1" s="1211" t="s">
        <v>14</v>
      </c>
    </row>
    <row customHeight="1" ht="23.25" hidden="1">
      <c r="A2" s="1419"/>
      <c r="B2" s="1419"/>
      <c r="C2" s="1419"/>
      <c r="D2" s="1419"/>
      <c r="E2" s="2314">
        <v>1</v>
      </c>
      <c r="F2" s="1419"/>
      <c r="G2" s="1419"/>
      <c r="H2" s="1419"/>
      <c r="I2" s="1419"/>
      <c r="J2" s="1419"/>
      <c r="K2" s="1419"/>
      <c r="L2" s="1420"/>
      <c r="M2" s="1421"/>
      <c r="N2" s="1421"/>
      <c r="O2" s="1421"/>
      <c r="P2" s="417"/>
      <c r="Q2" s="416"/>
      <c r="R2" s="411"/>
      <c r="S2" s="1549">
        <f>INDEX(PT_DIFFERENTIATION_NUM_NTAR,MATCH(A2,PT_DIFFERENTIATION_NTAR_ID,0))</f>
      </c>
      <c r="T2" s="354" t="s">
        <v>202</v>
      </c>
      <c r="U2" s="356"/>
      <c r="V2" s="2298"/>
      <c r="W2" s="2299"/>
      <c r="X2" s="2299"/>
      <c r="Y2" s="2299"/>
      <c r="Z2" s="2299"/>
      <c r="AA2" s="2299"/>
      <c r="AB2" s="2299"/>
      <c r="AC2" s="2299"/>
      <c r="AD2" s="2299"/>
      <c r="AE2" s="2299"/>
      <c r="AF2" s="2300"/>
      <c r="AG2" s="2298">
        <f>INDEX(PT_DIFFERENTIATION_NTAR,MATCH(A2,PT_DIFFERENTIATION_NTAR_ID,0))</f>
      </c>
      <c r="AH2" s="2299"/>
      <c r="AI2" s="2299"/>
      <c r="AJ2" s="2299"/>
      <c r="AK2" s="2299"/>
      <c r="AL2" s="2299"/>
      <c r="AM2" s="2299"/>
      <c r="AN2" s="2299"/>
      <c r="AO2" s="2299"/>
      <c r="AP2" s="2299"/>
      <c r="AQ2" s="2299"/>
      <c r="AR2" s="2300"/>
      <c r="AS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56"/>
      <c r="AV2" s="556" t="str">
        <f>IF(T2="","",T2)</f>
        <v>Наименование тарифа</v>
      </c>
      <c r="AW2" s="556"/>
      <c r="AX2" s="556"/>
      <c r="AY2" s="1211">
        <v>0</v>
      </c>
    </row>
    <row customHeight="1" ht="23.25" hidden="1">
      <c r="A3" s="1419"/>
      <c r="B3" s="1419"/>
      <c r="C3" s="1419"/>
      <c r="D3" s="1419"/>
      <c r="E3" s="2315"/>
      <c r="F3" s="2314">
        <v>1</v>
      </c>
      <c r="G3" s="1419"/>
      <c r="H3" s="1419"/>
      <c r="I3" s="1419"/>
      <c r="J3" s="1419"/>
      <c r="K3" s="1419"/>
      <c r="L3" s="1420"/>
      <c r="M3" s="1421"/>
      <c r="N3" s="1421"/>
      <c r="O3" s="1421"/>
      <c r="P3" s="1543"/>
      <c r="Q3" s="408"/>
      <c r="R3" s="409"/>
      <c r="S3" s="1549">
        <f>INDEX(PT_DIFFERENTIATION_NUM_TER,MATCH(B3,PT_DIFFERENTIATION_TER_ID,0))</f>
      </c>
      <c r="T3" s="364" t="s">
        <v>529</v>
      </c>
      <c r="U3" s="356"/>
      <c r="V3" s="2298"/>
      <c r="W3" s="2299"/>
      <c r="X3" s="2299"/>
      <c r="Y3" s="2299"/>
      <c r="Z3" s="2299"/>
      <c r="AA3" s="2299"/>
      <c r="AB3" s="2299"/>
      <c r="AC3" s="2299"/>
      <c r="AD3" s="2299"/>
      <c r="AE3" s="2299"/>
      <c r="AF3" s="2300"/>
      <c r="AG3" s="2298">
        <f>INDEX(PT_DIFFERENTIATION_TER,MATCH(B3,PT_DIFFERENTIATION_TER_ID,0))</f>
      </c>
      <c r="AH3" s="2299"/>
      <c r="AI3" s="2299"/>
      <c r="AJ3" s="2299"/>
      <c r="AK3" s="2299"/>
      <c r="AL3" s="2299"/>
      <c r="AM3" s="2299"/>
      <c r="AN3" s="2299"/>
      <c r="AO3" s="2299"/>
      <c r="AP3" s="2299"/>
      <c r="AQ3" s="2299"/>
      <c r="AR3" s="2300"/>
      <c r="AS3" s="1314" t="s">
        <v>530</v>
      </c>
      <c r="AU3" s="556"/>
      <c r="AV3" s="556" t="str">
        <f>IF(T3="","",T3)</f>
        <v>Территория действия тарифа</v>
      </c>
      <c r="AW3" s="556"/>
      <c r="AX3" s="556"/>
      <c r="AY3" s="1211">
        <v>0</v>
      </c>
    </row>
    <row customHeight="1" ht="23.25" hidden="1">
      <c r="A4" s="1419"/>
      <c r="B4" s="1419"/>
      <c r="C4" s="1419"/>
      <c r="D4" s="1419"/>
      <c r="E4" s="2315"/>
      <c r="F4" s="2315"/>
      <c r="G4" s="2314">
        <v>1</v>
      </c>
      <c r="H4" s="1419"/>
      <c r="I4" s="1419"/>
      <c r="J4" s="1419"/>
      <c r="K4" s="1419"/>
      <c r="L4" s="1420"/>
      <c r="M4" s="1421"/>
      <c r="N4" s="1421"/>
      <c r="O4" s="1421"/>
      <c r="P4" s="410"/>
      <c r="Q4" s="408"/>
      <c r="R4" s="409"/>
      <c r="S4" s="1549">
        <f>INDEX(PT_DIFFERENTIATION_NUM_CS,MATCH(C4,PT_DIFFERENTIATION_CS_ID,0))</f>
      </c>
      <c r="T4" s="365" t="s">
        <v>663</v>
      </c>
      <c r="U4" s="356"/>
      <c r="V4" s="2298"/>
      <c r="W4" s="2299"/>
      <c r="X4" s="2299"/>
      <c r="Y4" s="2299"/>
      <c r="Z4" s="2299"/>
      <c r="AA4" s="2299"/>
      <c r="AB4" s="2299"/>
      <c r="AC4" s="2299"/>
      <c r="AD4" s="2299"/>
      <c r="AE4" s="2299"/>
      <c r="AF4" s="2300"/>
      <c r="AG4" s="2298">
        <f>INDEX(PT_DIFFERENTIATION_CS,MATCH(C4,PT_DIFFERENTIATION_CS_ID,0))</f>
      </c>
      <c r="AH4" s="2299"/>
      <c r="AI4" s="2299"/>
      <c r="AJ4" s="2299"/>
      <c r="AK4" s="2299"/>
      <c r="AL4" s="2299"/>
      <c r="AM4" s="2299"/>
      <c r="AN4" s="2299"/>
      <c r="AO4" s="2299"/>
      <c r="AP4" s="2299"/>
      <c r="AQ4" s="2299"/>
      <c r="AR4" s="2300"/>
      <c r="AS4" s="1314" t="s">
        <v>664</v>
      </c>
      <c r="AU4" s="556"/>
      <c r="AV4" s="556" t="str">
        <f>IF(T4="","",T4)</f>
        <v>Наименование централизованной системы горячего водоснабжения</v>
      </c>
      <c r="AW4" s="556"/>
      <c r="AX4" s="556"/>
      <c r="AY4" s="1211">
        <v>0</v>
      </c>
    </row>
    <row customHeight="1" ht="23.25" hidden="1">
      <c r="A5" s="1419"/>
      <c r="B5" s="1419"/>
      <c r="C5" s="1419"/>
      <c r="D5" s="1419"/>
      <c r="E5" s="2315"/>
      <c r="F5" s="2315"/>
      <c r="G5" s="2315"/>
      <c r="H5" s="2315"/>
      <c r="I5" s="2312">
        <f>S4&amp;".1"</f>
      </c>
      <c r="J5" s="1419"/>
      <c r="K5" s="1419"/>
      <c r="L5" s="1420"/>
      <c r="P5" s="2313">
        <v>1</v>
      </c>
      <c r="Q5" s="1537"/>
      <c r="R5" s="412"/>
      <c r="S5" s="1549">
        <f>$I5</f>
      </c>
      <c r="T5" s="341" t="s">
        <v>612</v>
      </c>
      <c r="U5" s="356"/>
      <c r="V5" s="2406"/>
      <c r="W5" s="2407"/>
      <c r="X5" s="2407"/>
      <c r="Y5" s="2407"/>
      <c r="Z5" s="2407"/>
      <c r="AA5" s="2407"/>
      <c r="AB5" s="2407"/>
      <c r="AC5" s="2407"/>
      <c r="AD5" s="2407"/>
      <c r="AE5" s="2407"/>
      <c r="AF5" s="2408"/>
      <c r="AG5" s="2409"/>
      <c r="AH5" s="2410"/>
      <c r="AI5" s="2410"/>
      <c r="AJ5" s="2410"/>
      <c r="AK5" s="2410"/>
      <c r="AL5" s="2410"/>
      <c r="AM5" s="2410"/>
      <c r="AN5" s="2410"/>
      <c r="AO5" s="2410"/>
      <c r="AP5" s="2410"/>
      <c r="AQ5" s="2410"/>
      <c r="AR5" s="2411"/>
      <c r="AS5" s="1314" t="s">
        <v>613</v>
      </c>
      <c r="AU5" s="556"/>
      <c r="AV5" s="556" t="str">
        <f>IF(T5="","",T5)</f>
        <v>Наименование признака дифференциации</v>
      </c>
      <c r="AW5" s="556"/>
      <c r="AX5" s="556"/>
      <c r="AY5" s="1211">
        <v>0</v>
      </c>
    </row>
    <row customHeight="1" ht="23.25" hidden="1">
      <c r="A6" s="1419"/>
      <c r="B6" s="1419"/>
      <c r="C6" s="1419"/>
      <c r="D6" s="1419"/>
      <c r="E6" s="2315"/>
      <c r="F6" s="2315"/>
      <c r="G6" s="2315"/>
      <c r="H6" s="2315"/>
      <c r="I6" s="2342"/>
      <c r="J6" s="2312">
        <f>I5&amp;".1"</f>
      </c>
      <c r="K6" s="1419"/>
      <c r="L6" s="1420" t="s">
        <v>538</v>
      </c>
      <c r="P6" s="2313"/>
      <c r="Q6" s="2313">
        <v>1</v>
      </c>
      <c r="R6" s="413"/>
      <c r="S6" s="1549">
        <f>$J6</f>
      </c>
      <c r="T6" s="342" t="s">
        <v>539</v>
      </c>
      <c r="U6" s="356"/>
      <c r="V6" s="2301"/>
      <c r="W6" s="2302"/>
      <c r="X6" s="2302"/>
      <c r="Y6" s="2302"/>
      <c r="Z6" s="2302"/>
      <c r="AA6" s="2302"/>
      <c r="AB6" s="2302"/>
      <c r="AC6" s="2302"/>
      <c r="AD6" s="2302"/>
      <c r="AE6" s="2302"/>
      <c r="AF6" s="2303"/>
      <c r="AG6" s="2301"/>
      <c r="AH6" s="2302"/>
      <c r="AI6" s="2302"/>
      <c r="AJ6" s="2302"/>
      <c r="AK6" s="2302"/>
      <c r="AL6" s="2302"/>
      <c r="AM6" s="2302"/>
      <c r="AN6" s="2302"/>
      <c r="AO6" s="2302"/>
      <c r="AP6" s="2302"/>
      <c r="AQ6" s="2302"/>
      <c r="AR6" s="2303"/>
      <c r="AS6" s="1363" t="s">
        <v>614</v>
      </c>
      <c r="AU6" s="556"/>
      <c r="AV6" s="556" t="str">
        <f>IF(T6="","",T6)</f>
        <v>Группа потребителей</v>
      </c>
      <c r="AW6" s="556"/>
      <c r="AX6" s="556"/>
      <c r="AY6" s="1211">
        <v>0</v>
      </c>
    </row>
    <row customHeight="1" ht="23.25" hidden="1">
      <c r="A7" s="1419"/>
      <c r="B7" s="1419"/>
      <c r="C7" s="1419"/>
      <c r="D7" s="1419"/>
      <c r="E7" s="2315"/>
      <c r="F7" s="2315"/>
      <c r="G7" s="2315"/>
      <c r="H7" s="2315"/>
      <c r="I7" s="2342"/>
      <c r="J7" s="2342"/>
      <c r="K7" s="2312">
        <f>J6&amp;".1"</f>
      </c>
      <c r="L7" s="1420"/>
      <c r="P7" s="2313"/>
      <c r="Q7" s="2313"/>
      <c r="R7" s="413">
        <v>1</v>
      </c>
      <c r="S7" s="1549">
        <f>$K7</f>
      </c>
      <c r="T7" s="1493"/>
      <c r="U7" s="356"/>
      <c r="V7" s="807"/>
      <c r="W7" s="807"/>
      <c r="X7" s="807"/>
      <c r="Y7" s="807"/>
      <c r="Z7" s="807"/>
      <c r="AA7" s="807"/>
      <c r="AB7" s="1313"/>
      <c r="AC7" s="2321"/>
      <c r="AD7" s="2163" t="s">
        <v>65</v>
      </c>
      <c r="AE7" s="2321"/>
      <c r="AF7" s="2163" t="s">
        <v>65</v>
      </c>
      <c r="AG7" s="807"/>
      <c r="AH7" s="807"/>
      <c r="AI7" s="807"/>
      <c r="AJ7" s="807"/>
      <c r="AK7" s="807"/>
      <c r="AL7" s="807"/>
      <c r="AM7" s="1313"/>
      <c r="AN7" s="2321"/>
      <c r="AO7" s="2163" t="s">
        <v>65</v>
      </c>
      <c r="AP7" s="2343"/>
      <c r="AQ7" s="2163" t="s">
        <v>65</v>
      </c>
      <c r="AR7" s="1494"/>
      <c r="AS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67">
        <f>STRCHECKDATE(V8:AR8)</f>
      </c>
      <c r="AU7" s="556"/>
      <c r="AV7" s="556" t="str">
        <f>IF(T7="","",T7)</f>
        <v/>
      </c>
      <c r="AW7" s="556"/>
      <c r="AX7" s="556"/>
      <c r="AY7" s="1211">
        <v>0</v>
      </c>
    </row>
    <row customHeight="1" ht="14.25" hidden="1">
      <c r="A8" s="1419"/>
      <c r="B8" s="1419"/>
      <c r="C8" s="1419"/>
      <c r="D8" s="1419"/>
      <c r="E8" s="2315"/>
      <c r="F8" s="2315"/>
      <c r="G8" s="2315"/>
      <c r="H8" s="2315"/>
      <c r="I8" s="2342"/>
      <c r="J8" s="2342"/>
      <c r="K8" s="2312"/>
      <c r="L8" s="1420"/>
      <c r="P8" s="2313"/>
      <c r="Q8" s="2313"/>
      <c r="R8" s="413"/>
      <c r="S8" s="1546"/>
      <c r="T8" s="356"/>
      <c r="U8" s="356"/>
      <c r="V8" s="381"/>
      <c r="W8" s="381"/>
      <c r="X8" s="381"/>
      <c r="Y8" s="381"/>
      <c r="Z8" s="381"/>
      <c r="AA8" s="381"/>
      <c r="AB8" s="384" t="str">
        <f>AC7&amp;"-"&amp;AE7</f>
        <v>-</v>
      </c>
      <c r="AC8" s="2322"/>
      <c r="AD8" s="2163"/>
      <c r="AE8" s="2322"/>
      <c r="AF8" s="2163"/>
      <c r="AG8" s="381"/>
      <c r="AH8" s="381"/>
      <c r="AI8" s="381"/>
      <c r="AJ8" s="381"/>
      <c r="AK8" s="381"/>
      <c r="AL8" s="381"/>
      <c r="AM8" s="384" t="str">
        <f>AN7&amp;"-"&amp;AP7</f>
        <v>-</v>
      </c>
      <c r="AN8" s="2322"/>
      <c r="AO8" s="2163"/>
      <c r="AP8" s="2344"/>
      <c r="AQ8" s="2163"/>
      <c r="AR8" s="1495"/>
      <c r="AS8" s="2405"/>
      <c r="AU8" s="556"/>
      <c r="AV8" s="556" t="str">
        <f>IF(T8="","",T8)</f>
        <v/>
      </c>
      <c r="AW8" s="556"/>
      <c r="AX8" s="556"/>
      <c r="AY8" s="1211">
        <v>0</v>
      </c>
    </row>
    <row customHeight="1" ht="21" hidden="1">
      <c r="A9" s="1419"/>
      <c r="B9" s="1419"/>
      <c r="C9" s="1419"/>
      <c r="D9" s="1419"/>
      <c r="E9" s="2315"/>
      <c r="F9" s="2315"/>
      <c r="G9" s="2315"/>
      <c r="H9" s="2315"/>
      <c r="I9" s="2342"/>
      <c r="J9" s="2312"/>
      <c r="K9" s="1419"/>
      <c r="L9" s="1420"/>
      <c r="P9" s="2313"/>
      <c r="Q9" s="2313"/>
      <c r="R9" s="412"/>
      <c r="S9" s="1334"/>
      <c r="T9" s="343" t="s">
        <v>615</v>
      </c>
      <c r="U9" s="423"/>
      <c r="V9" s="423"/>
      <c r="W9" s="656"/>
      <c r="X9" s="656"/>
      <c r="Y9" s="656"/>
      <c r="Z9" s="656"/>
      <c r="AA9" s="656"/>
      <c r="AB9" s="423"/>
      <c r="AC9" s="423"/>
      <c r="AD9" s="423"/>
      <c r="AE9" s="423"/>
      <c r="AF9" s="423"/>
      <c r="AG9" s="423"/>
      <c r="AH9" s="656"/>
      <c r="AI9" s="656"/>
      <c r="AJ9" s="656"/>
      <c r="AK9" s="656"/>
      <c r="AL9" s="656"/>
      <c r="AM9" s="423"/>
      <c r="AN9" s="423"/>
      <c r="AO9" s="423"/>
      <c r="AP9" s="423"/>
      <c r="AQ9" s="423"/>
      <c r="AR9" s="423"/>
      <c r="AS9" s="1314" t="s">
        <v>616</v>
      </c>
      <c r="AU9" s="556"/>
      <c r="AV9" s="556" t="str">
        <f>IF(T9="","",T9)</f>
        <v>Добавить значение признака дифференциации</v>
      </c>
      <c r="AW9" s="556"/>
      <c r="AX9" s="556"/>
      <c r="AY9" s="1211">
        <v>0</v>
      </c>
    </row>
    <row customHeight="1" ht="21" hidden="1">
      <c r="A10" s="1419"/>
      <c r="B10" s="1419"/>
      <c r="C10" s="1419"/>
      <c r="D10" s="1419"/>
      <c r="E10" s="2315"/>
      <c r="F10" s="2315"/>
      <c r="G10" s="2315"/>
      <c r="H10" s="2315"/>
      <c r="I10" s="2312"/>
      <c r="J10" s="1419"/>
      <c r="K10" s="1419"/>
      <c r="L10" s="1420"/>
      <c r="P10" s="2313"/>
      <c r="Q10" s="1537"/>
      <c r="R10" s="412"/>
      <c r="S10" s="1334"/>
      <c r="T10" s="421" t="s">
        <v>544</v>
      </c>
      <c r="U10" s="423"/>
      <c r="V10" s="423"/>
      <c r="W10" s="656"/>
      <c r="X10" s="656"/>
      <c r="Y10" s="656"/>
      <c r="Z10" s="656"/>
      <c r="AA10" s="656"/>
      <c r="AB10" s="423"/>
      <c r="AC10" s="423"/>
      <c r="AD10" s="423"/>
      <c r="AE10" s="423"/>
      <c r="AF10" s="422"/>
      <c r="AG10" s="423"/>
      <c r="AH10" s="656"/>
      <c r="AI10" s="656"/>
      <c r="AJ10" s="656"/>
      <c r="AK10" s="656"/>
      <c r="AL10" s="656"/>
      <c r="AM10" s="423"/>
      <c r="AN10" s="423"/>
      <c r="AO10" s="423"/>
      <c r="AP10" s="423"/>
      <c r="AQ10" s="422"/>
      <c r="AR10" s="423"/>
      <c r="AS10" s="1496"/>
      <c r="AU10" s="556"/>
      <c r="AV10" s="556" t="str">
        <f>IF(T10="","",T10)</f>
        <v>Добавить группу потребителей</v>
      </c>
      <c r="AW10" s="556"/>
      <c r="AX10" s="556"/>
      <c r="AY10" s="1211">
        <v>0</v>
      </c>
    </row>
    <row customHeight="1" ht="21" hidden="1">
      <c r="A11" s="1419"/>
      <c r="B11" s="1419"/>
      <c r="C11" s="1419"/>
      <c r="D11" s="1419"/>
      <c r="E11" s="2315"/>
      <c r="F11" s="2315"/>
      <c r="G11" s="2315"/>
      <c r="H11" s="2314"/>
      <c r="I11" s="1419"/>
      <c r="J11" s="1419"/>
      <c r="K11" s="1419"/>
      <c r="L11" s="1420"/>
      <c r="M11" s="1421"/>
      <c r="N11" s="1421"/>
      <c r="O11" s="593"/>
      <c r="P11" s="416"/>
      <c r="Q11" s="431"/>
      <c r="R11" s="411"/>
      <c r="S11" s="1334"/>
      <c r="T11" s="428" t="s">
        <v>617</v>
      </c>
      <c r="U11" s="423"/>
      <c r="V11" s="423"/>
      <c r="W11" s="656"/>
      <c r="X11" s="656"/>
      <c r="Y11" s="656"/>
      <c r="Z11" s="656"/>
      <c r="AA11" s="656"/>
      <c r="AB11" s="423"/>
      <c r="AC11" s="423"/>
      <c r="AD11" s="423"/>
      <c r="AE11" s="423"/>
      <c r="AF11" s="422"/>
      <c r="AG11" s="423"/>
      <c r="AH11" s="656"/>
      <c r="AI11" s="656"/>
      <c r="AJ11" s="656"/>
      <c r="AK11" s="656"/>
      <c r="AL11" s="656"/>
      <c r="AM11" s="423"/>
      <c r="AN11" s="423"/>
      <c r="AO11" s="423"/>
      <c r="AP11" s="423"/>
      <c r="AQ11" s="422"/>
      <c r="AR11" s="423"/>
      <c r="AS11" s="359"/>
      <c r="AU11" s="556"/>
      <c r="AV11" s="556" t="str">
        <f>IF(T11="","",T11)</f>
        <v>Добавить наименование признака дифференциации</v>
      </c>
      <c r="AW11" s="556"/>
      <c r="AX11" s="556"/>
      <c r="AY11" s="1211">
        <v>0</v>
      </c>
    </row>
    <row s="2851" customFormat="1" customHeight="1" ht="14.25" hidden="1">
      <c r="A12" s="1399"/>
      <c r="B12" s="1399"/>
      <c r="C12" s="1370"/>
      <c r="D12" s="1370"/>
      <c r="E12" s="2315"/>
      <c r="F12" s="2314"/>
      <c r="G12" s="1370"/>
      <c r="H12" s="1370"/>
      <c r="I12" s="1370"/>
      <c r="J12" s="1370"/>
      <c r="K12" s="1370"/>
      <c r="L12" s="1550"/>
      <c r="M12" s="1377"/>
      <c r="N12" s="1377"/>
      <c r="P12" s="1372"/>
      <c r="Q12" s="1373"/>
      <c r="R12" s="1372"/>
      <c r="S12" s="1378"/>
      <c r="T12" s="1381" t="s">
        <v>302</v>
      </c>
      <c r="U12" s="1380"/>
      <c r="V12" s="1380"/>
      <c r="W12" s="1380"/>
      <c r="X12" s="1380"/>
      <c r="Y12" s="1380"/>
      <c r="Z12" s="1380"/>
      <c r="AA12" s="1380"/>
      <c r="AB12" s="1380"/>
      <c r="AC12" s="1380"/>
      <c r="AD12" s="1380"/>
      <c r="AE12" s="1380"/>
      <c r="AF12" s="1380"/>
      <c r="AG12" s="1380"/>
      <c r="AH12" s="1380"/>
      <c r="AI12" s="1380"/>
      <c r="AJ12" s="1380"/>
      <c r="AK12" s="1380"/>
      <c r="AL12" s="1380"/>
      <c r="AM12" s="1380"/>
      <c r="AN12" s="1380"/>
      <c r="AO12" s="1380"/>
      <c r="AP12" s="1380"/>
      <c r="AQ12" s="1380"/>
      <c r="AR12" s="1380"/>
      <c r="AS12" s="1380"/>
      <c r="AU12" s="845"/>
      <c r="AV12" s="845" t="str">
        <f>IF(T12="","",T12)</f>
        <v>Добавить централизованную систему для дифференциации</v>
      </c>
      <c r="AW12" s="845"/>
      <c r="AX12" s="845"/>
      <c r="AY12" s="574">
        <v>0</v>
      </c>
    </row>
    <row s="2851" customFormat="1" customHeight="1" ht="14.25" hidden="1">
      <c r="A13" s="1399"/>
      <c r="B13" s="1399"/>
      <c r="C13" s="1399"/>
      <c r="D13" s="1399"/>
      <c r="E13" s="2314"/>
      <c r="F13" s="1399"/>
      <c r="G13" s="1399"/>
      <c r="H13" s="1399"/>
      <c r="I13" s="1399"/>
      <c r="J13" s="1399"/>
      <c r="K13" s="1399"/>
      <c r="L13" s="1402"/>
      <c r="M13" s="1377"/>
      <c r="N13" s="1377"/>
      <c r="O13" s="574"/>
      <c r="P13" s="436"/>
      <c r="Q13" s="1400"/>
      <c r="R13" s="436"/>
      <c r="S13" s="1378"/>
      <c r="T13" s="1381" t="s">
        <v>359</v>
      </c>
      <c r="U13" s="1380"/>
      <c r="V13" s="1380"/>
      <c r="W13" s="1380"/>
      <c r="X13" s="1380"/>
      <c r="Y13" s="1380"/>
      <c r="Z13" s="1380"/>
      <c r="AA13" s="1380"/>
      <c r="AB13" s="1380"/>
      <c r="AC13" s="1380"/>
      <c r="AD13" s="1380"/>
      <c r="AE13" s="1380"/>
      <c r="AF13" s="1380"/>
      <c r="AG13" s="1380"/>
      <c r="AH13" s="1380"/>
      <c r="AI13" s="1380"/>
      <c r="AJ13" s="1380"/>
      <c r="AK13" s="1380"/>
      <c r="AL13" s="1380"/>
      <c r="AM13" s="1380"/>
      <c r="AN13" s="1380"/>
      <c r="AO13" s="1380"/>
      <c r="AP13" s="1380"/>
      <c r="AQ13" s="1380"/>
      <c r="AR13" s="1380"/>
      <c r="AS13" s="1380"/>
      <c r="AU13" s="556"/>
      <c r="AV13" s="556" t="str">
        <f>IF(T13="","",T13)</f>
        <v>Добавить территорию для дифференциации</v>
      </c>
      <c r="AW13" s="556"/>
      <c r="AX13" s="556"/>
      <c r="AY13" s="567">
        <v>0</v>
      </c>
    </row>
    <row customHeight="1" ht="14.25" hidden="1">
      <c r="AF14" s="383"/>
      <c r="AQ14" s="383"/>
      <c r="AY14" s="1211">
        <v>0</v>
      </c>
    </row>
    <row customHeight="1" ht="14.25" hidden="1">
      <c r="AG15" s="1416"/>
      <c r="AH15" s="1416"/>
      <c r="AI15" s="1416"/>
      <c r="AJ15" s="1416"/>
      <c r="AK15" s="1416"/>
      <c r="AL15" s="1416"/>
      <c r="AM15" s="1417"/>
      <c r="AN15" s="2323"/>
      <c r="AO15" s="2324" t="s">
        <v>65</v>
      </c>
      <c r="AP15" s="2323"/>
      <c r="AQ15" s="2324" t="s">
        <v>65</v>
      </c>
      <c r="AY15" s="1211">
        <v>0</v>
      </c>
    </row>
    <row customHeight="1" ht="14.25" hidden="1">
      <c r="AG16" s="1416"/>
      <c r="AH16" s="1416"/>
      <c r="AI16" s="1416"/>
      <c r="AJ16" s="1416"/>
      <c r="AK16" s="1416"/>
      <c r="AL16" s="1416"/>
      <c r="AM16" s="384" t="str">
        <f>AN15&amp;"-"&amp;AP15</f>
        <v>-</v>
      </c>
      <c r="AN16" s="2324"/>
      <c r="AO16" s="2324"/>
      <c r="AP16" s="2324"/>
      <c r="AQ16" s="2324"/>
      <c r="AY16" s="1211">
        <v>0</v>
      </c>
    </row>
    <row customHeight="1" ht="14.25" hidden="1">
      <c r="AQ17" s="383"/>
      <c r="AY17" s="1211">
        <v>0</v>
      </c>
    </row>
    <row s="2850" customFormat="1" customHeight="1" ht="22.5" hidden="1">
      <c r="L18" s="1534"/>
      <c r="M18" s="1418"/>
      <c r="N18" s="1418"/>
      <c r="O18" s="1423" t="s">
        <v>547</v>
      </c>
      <c r="P18" s="1418"/>
      <c r="Q18" s="1427"/>
      <c r="R18" s="1427"/>
      <c r="S18" s="785"/>
      <c r="W18" s="1422"/>
      <c r="X18" s="1422"/>
      <c r="Y18" s="1422"/>
      <c r="Z18" s="1422"/>
      <c r="AA18" s="1422"/>
      <c r="AC18" s="1423"/>
      <c r="AE18" s="1423"/>
      <c r="AF18" s="1422"/>
      <c r="AH18" s="1422"/>
      <c r="AI18" s="1422"/>
      <c r="AJ18" s="1422"/>
      <c r="AK18" s="1422"/>
      <c r="AL18" s="1422"/>
      <c r="AN18" s="1423"/>
      <c r="AP18" s="1423"/>
      <c r="AQ18" s="1422"/>
      <c r="AT18" s="567"/>
      <c r="AU18" s="567"/>
      <c r="AV18" s="567"/>
      <c r="AW18" s="567"/>
      <c r="AX18" s="567"/>
      <c r="AY18" s="1216">
        <v>0</v>
      </c>
    </row>
    <row s="2850" customFormat="1" customHeight="1" ht="14.25" hidden="1">
      <c r="L19" s="1534"/>
      <c r="M19" s="1418"/>
      <c r="N19" s="1418"/>
      <c r="O19" s="1418"/>
      <c r="P19" s="1418"/>
      <c r="Q19" s="1427"/>
      <c r="R19" s="1427"/>
      <c r="S19" s="785"/>
      <c r="W19" s="1422"/>
      <c r="X19" s="1422"/>
      <c r="Y19" s="1422"/>
      <c r="Z19" s="1422"/>
      <c r="AA19" s="1422"/>
      <c r="AF19" s="1422"/>
      <c r="AH19" s="1422"/>
      <c r="AI19" s="1422"/>
      <c r="AJ19" s="1422"/>
      <c r="AK19" s="1422"/>
      <c r="AL19" s="1422"/>
      <c r="AQ19" s="1422"/>
      <c r="AT19" s="567"/>
      <c r="AU19" s="567"/>
      <c r="AV19" s="567"/>
      <c r="AW19" s="567"/>
      <c r="AX19" s="567"/>
      <c r="AY19" s="1216">
        <v>0</v>
      </c>
    </row>
    <row s="2850" customFormat="1" customHeight="1" ht="12" hidden="1">
      <c r="L20" s="1534"/>
      <c r="M20" s="1418"/>
      <c r="N20" s="1418"/>
      <c r="O20" s="1420" t="s">
        <v>548</v>
      </c>
      <c r="P20" s="1418"/>
      <c r="Q20" s="1498"/>
      <c r="R20" s="1498"/>
      <c r="S20" s="785"/>
      <c r="T20" s="1216" t="s">
        <v>549</v>
      </c>
      <c r="W20" s="1422"/>
      <c r="X20" s="1422"/>
      <c r="Y20" s="1422"/>
      <c r="Z20" s="1422"/>
      <c r="AA20" s="1422"/>
      <c r="AD20" s="242" t="s">
        <v>550</v>
      </c>
      <c r="AF20" s="242" t="s">
        <v>551</v>
      </c>
      <c r="AG20" s="1216" t="s">
        <v>549</v>
      </c>
      <c r="AH20" s="1422"/>
      <c r="AI20" s="1422"/>
      <c r="AJ20" s="1422"/>
      <c r="AK20" s="1422"/>
      <c r="AL20" s="1422"/>
      <c r="AO20" s="242" t="s">
        <v>552</v>
      </c>
      <c r="AQ20" s="242" t="s">
        <v>551</v>
      </c>
      <c r="AY20" s="1216">
        <v>0</v>
      </c>
    </row>
    <row customHeight="1" ht="14.25" hidden="1">
      <c r="O21" s="1420"/>
      <c r="AY21" s="1211">
        <v>0</v>
      </c>
    </row>
    <row customHeight="1" ht="14.25" hidden="1">
      <c r="O22" s="1420"/>
      <c r="AY22" s="1211">
        <v>0</v>
      </c>
    </row>
    <row customHeight="1" ht="14.699999999999998">
      <c r="Q23" s="432"/>
      <c r="R23" s="432"/>
      <c r="S23" s="1331"/>
      <c r="T23" s="419"/>
      <c r="U23" s="419"/>
      <c r="V23" s="565"/>
      <c r="W23" s="1691"/>
      <c r="X23" s="1691"/>
      <c r="Y23" s="1691"/>
      <c r="Z23" s="1691"/>
      <c r="AA23" s="1691"/>
      <c r="AB23" s="565"/>
      <c r="AC23" s="565"/>
      <c r="AD23" s="565"/>
      <c r="AE23" s="565"/>
      <c r="AF23" s="565"/>
      <c r="AG23" s="565"/>
      <c r="AH23" s="1691"/>
      <c r="AI23" s="1691"/>
      <c r="AJ23" s="1691"/>
      <c r="AK23" s="1691"/>
      <c r="AL23" s="1691"/>
      <c r="AM23" s="565"/>
      <c r="AN23" s="565"/>
      <c r="AO23" s="565"/>
      <c r="AP23" s="565"/>
      <c r="AQ23" s="565"/>
      <c r="AY23" s="1211">
        <v>14</v>
      </c>
    </row>
    <row customHeight="1" ht="26.25">
      <c r="Q24" s="432"/>
      <c r="R24" s="432"/>
      <c r="S24" s="230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04"/>
      <c r="U24" s="2304"/>
      <c r="V24" s="2304"/>
      <c r="W24" s="2304"/>
      <c r="X24" s="2304"/>
      <c r="Y24" s="2304"/>
      <c r="Z24" s="2304"/>
      <c r="AA24" s="2304"/>
      <c r="AB24" s="2304"/>
      <c r="AC24" s="2304"/>
      <c r="AD24" s="2304"/>
      <c r="AE24" s="2304"/>
      <c r="AF24" s="2304"/>
      <c r="AG24" s="2304"/>
      <c r="AH24" s="2304"/>
      <c r="AI24" s="2304"/>
      <c r="AJ24" s="2304"/>
      <c r="AK24" s="2304"/>
      <c r="AL24" s="2304"/>
      <c r="AM24" s="2304"/>
      <c r="AN24" s="2304"/>
      <c r="AO24" s="2304"/>
      <c r="AP24" s="2304"/>
      <c r="AQ24" s="1299"/>
      <c r="AY24" s="1211">
        <v>25</v>
      </c>
    </row>
    <row customHeight="1" ht="14.699999999999998">
      <c r="Q25" s="432"/>
      <c r="R25" s="432"/>
      <c r="S25" s="2305" t="str">
        <f>IF(org=0,"Не определено",org)</f>
        <v>МУП ЖКХ "Родник"</v>
      </c>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1299"/>
      <c r="AY25" s="1211">
        <v>14</v>
      </c>
    </row>
    <row customHeight="1" ht="14.25">
      <c r="Q26" s="432"/>
      <c r="R26" s="432"/>
      <c r="S26" s="1331"/>
      <c r="T26" s="419"/>
      <c r="U26" s="419"/>
      <c r="V26" s="378"/>
      <c r="W26" s="378"/>
      <c r="X26" s="378"/>
      <c r="Y26" s="378"/>
      <c r="Z26" s="378"/>
      <c r="AA26" s="378"/>
      <c r="AB26" s="378"/>
      <c r="AC26" s="378"/>
      <c r="AD26" s="378"/>
      <c r="AE26" s="378"/>
      <c r="AF26" s="378"/>
      <c r="AG26" s="378"/>
      <c r="AH26" s="378"/>
      <c r="AI26" s="378"/>
      <c r="AJ26" s="378"/>
      <c r="AK26" s="378"/>
      <c r="AL26" s="378"/>
      <c r="AM26" s="378"/>
      <c r="AN26" s="378"/>
      <c r="AO26" s="378"/>
      <c r="AP26" s="378"/>
      <c r="AQ26" s="378"/>
      <c r="AR26" s="565"/>
      <c r="AY26" s="1211">
        <v>0</v>
      </c>
    </row>
    <row s="2983" customFormat="1" customHeight="1" ht="25.5">
      <c r="A27" s="1424"/>
      <c r="B27" s="1424"/>
      <c r="C27" s="1424"/>
      <c r="D27" s="1424"/>
      <c r="E27" s="1424"/>
      <c r="F27" s="1424"/>
      <c r="G27" s="1424"/>
      <c r="H27" s="1424"/>
      <c r="I27" s="1424"/>
      <c r="J27" s="1424"/>
      <c r="K27" s="1424"/>
      <c r="L27" s="1425"/>
      <c r="M27" s="1424"/>
      <c r="N27" s="1424"/>
      <c r="O27" s="1424"/>
      <c r="S27" s="2306" t="s">
        <v>42</v>
      </c>
      <c r="T27" s="2306"/>
      <c r="U27" s="1428"/>
      <c r="V27" s="2307" t="str">
        <f>IF(TITLE_NAME_OR_PR_CHANGE="",IF(TITLE_NAME_OR_PR="","",TITLE_NAME_OR_PR),TITLE_NAME_OR_PR_CHANGE)</f>
        <v>Министерство по тарифам и ценам Курской области</v>
      </c>
      <c r="W27" s="2307"/>
      <c r="X27" s="2307"/>
      <c r="Y27" s="2307"/>
      <c r="Z27" s="2307"/>
      <c r="AA27" s="2307"/>
      <c r="AB27" s="2307"/>
      <c r="AC27" s="2307"/>
      <c r="AD27" s="2307"/>
      <c r="AE27" s="2307"/>
      <c r="AF27" s="382"/>
      <c r="AG27" s="2307" t="str">
        <f>IF(TITLE_NAME_OR_PR_CHANGE="",IF(TITLE_NAME_OR_PR="","",TITLE_NAME_OR_PR),TITLE_NAME_OR_PR_CHANGE)</f>
        <v>Министерство по тарифам и ценам Курской области</v>
      </c>
      <c r="AH27" s="2307"/>
      <c r="AI27" s="2307"/>
      <c r="AJ27" s="2307"/>
      <c r="AK27" s="2307"/>
      <c r="AL27" s="2307"/>
      <c r="AM27" s="2307"/>
      <c r="AN27" s="2307"/>
      <c r="AO27" s="2307"/>
      <c r="AP27" s="2307"/>
      <c r="AQ27" s="382"/>
      <c r="AR27" s="382"/>
      <c r="AS27" s="336"/>
      <c r="AT27" s="424"/>
      <c r="AU27" s="424"/>
      <c r="AV27" s="424"/>
      <c r="AW27" s="424"/>
      <c r="AX27" s="424"/>
      <c r="AY27" s="474">
        <v>0</v>
      </c>
    </row>
    <row s="2983" customFormat="1" customHeight="1" ht="18.75">
      <c r="A28" s="1424"/>
      <c r="B28" s="1424"/>
      <c r="C28" s="1424"/>
      <c r="D28" s="1424"/>
      <c r="E28" s="1424"/>
      <c r="F28" s="1424"/>
      <c r="G28" s="1424"/>
      <c r="H28" s="1424"/>
      <c r="I28" s="1424"/>
      <c r="J28" s="1424"/>
      <c r="K28" s="1424"/>
      <c r="L28" s="1425"/>
      <c r="M28" s="1424"/>
      <c r="N28" s="1424"/>
      <c r="O28" s="1424"/>
      <c r="S28" s="2306" t="s">
        <v>553</v>
      </c>
      <c r="T28" s="2306"/>
      <c r="U28" s="1428"/>
      <c r="V28" s="2320" t="str">
        <f>IF(TITLE_DATE_PR_CHANGE="",IF(TITLE_DATE_PR="","",TITLE_DATE_PR),TITLE_DATE_PR_CHANGE)</f>
        <v>45645</v>
      </c>
      <c r="W28" s="2320"/>
      <c r="X28" s="2320"/>
      <c r="Y28" s="2320"/>
      <c r="Z28" s="2320"/>
      <c r="AA28" s="2320"/>
      <c r="AB28" s="2320"/>
      <c r="AC28" s="2320"/>
      <c r="AD28" s="2320"/>
      <c r="AE28" s="2320"/>
      <c r="AF28" s="382"/>
      <c r="AG28" s="2320" t="str">
        <f>IF(TITLE_DATE_PR_CHANGE="",IF(TITLE_DATE_PR="","",TITLE_DATE_PR),TITLE_DATE_PR_CHANGE)</f>
        <v>45645</v>
      </c>
      <c r="AH28" s="2320"/>
      <c r="AI28" s="2320"/>
      <c r="AJ28" s="2320"/>
      <c r="AK28" s="2320"/>
      <c r="AL28" s="2320"/>
      <c r="AM28" s="2320"/>
      <c r="AN28" s="2320"/>
      <c r="AO28" s="2320"/>
      <c r="AP28" s="2320"/>
      <c r="AQ28" s="382"/>
      <c r="AR28" s="382"/>
      <c r="AS28" s="336"/>
      <c r="AT28" s="424"/>
      <c r="AU28" s="424"/>
      <c r="AV28" s="424"/>
      <c r="AW28" s="424"/>
      <c r="AX28" s="424"/>
      <c r="AY28" s="474">
        <v>0</v>
      </c>
    </row>
    <row s="2983" customFormat="1" customHeight="1" ht="18.75">
      <c r="A29" s="1424"/>
      <c r="B29" s="1424"/>
      <c r="C29" s="1424"/>
      <c r="D29" s="1424"/>
      <c r="E29" s="1424"/>
      <c r="F29" s="1424"/>
      <c r="G29" s="1424"/>
      <c r="H29" s="1424"/>
      <c r="I29" s="1424"/>
      <c r="J29" s="1424"/>
      <c r="K29" s="1424"/>
      <c r="L29" s="1425"/>
      <c r="M29" s="1424"/>
      <c r="N29" s="1424"/>
      <c r="O29" s="1424"/>
      <c r="S29" s="2306" t="s">
        <v>554</v>
      </c>
      <c r="T29" s="2306"/>
      <c r="U29" s="1428"/>
      <c r="V29" s="2307" t="str">
        <f>IF(TITLE_NUMBER_PR_CHANGE="",IF(TITLE_NUMBER_PR="","",TITLE_NUMBER_PR),TITLE_NUMBER_PR_CHANGE)</f>
        <v>208-вод</v>
      </c>
      <c r="W29" s="2307"/>
      <c r="X29" s="2307"/>
      <c r="Y29" s="2307"/>
      <c r="Z29" s="2307"/>
      <c r="AA29" s="2307"/>
      <c r="AB29" s="2307"/>
      <c r="AC29" s="2307"/>
      <c r="AD29" s="2307"/>
      <c r="AE29" s="2307"/>
      <c r="AF29" s="382"/>
      <c r="AG29" s="2307" t="str">
        <f>IF(TITLE_NUMBER_PR_CHANGE="",IF(TITLE_NUMBER_PR="","",TITLE_NUMBER_PR),TITLE_NUMBER_PR_CHANGE)</f>
        <v>208-вод</v>
      </c>
      <c r="AH29" s="2307"/>
      <c r="AI29" s="2307"/>
      <c r="AJ29" s="2307"/>
      <c r="AK29" s="2307"/>
      <c r="AL29" s="2307"/>
      <c r="AM29" s="2307"/>
      <c r="AN29" s="2307"/>
      <c r="AO29" s="2307"/>
      <c r="AP29" s="2307"/>
      <c r="AQ29" s="382"/>
      <c r="AR29" s="382"/>
      <c r="AS29" s="336"/>
      <c r="AT29" s="424"/>
      <c r="AU29" s="424"/>
      <c r="AV29" s="424"/>
      <c r="AW29" s="424"/>
      <c r="AX29" s="424"/>
      <c r="AY29" s="474">
        <v>0</v>
      </c>
    </row>
    <row s="2983" customFormat="1" customHeight="1" ht="18.75">
      <c r="A30" s="1424"/>
      <c r="B30" s="1424"/>
      <c r="C30" s="1424"/>
      <c r="D30" s="1424"/>
      <c r="E30" s="1424"/>
      <c r="F30" s="1424"/>
      <c r="G30" s="1424"/>
      <c r="H30" s="1424"/>
      <c r="I30" s="1424"/>
      <c r="J30" s="1424"/>
      <c r="K30" s="1424"/>
      <c r="L30" s="1425"/>
      <c r="M30" s="1424"/>
      <c r="N30" s="1424"/>
      <c r="O30" s="1424"/>
      <c r="S30" s="2306" t="s">
        <v>44</v>
      </c>
      <c r="T30" s="2306"/>
      <c r="U30" s="1428"/>
      <c r="V30" s="2307" t="str">
        <f>IF(TITLE_IST_PUB_CHANGE="",IF(TITLE_IST_PUB="","",TITLE_IST_PUB),TITLE_IST_PUB_CHANGE)</f>
        <v>Газета "Курская правда" №155 от 26.12.2024 г.</v>
      </c>
      <c r="W30" s="2307"/>
      <c r="X30" s="2307"/>
      <c r="Y30" s="2307"/>
      <c r="Z30" s="2307"/>
      <c r="AA30" s="2307"/>
      <c r="AB30" s="2307"/>
      <c r="AC30" s="2307"/>
      <c r="AD30" s="2307"/>
      <c r="AE30" s="2307"/>
      <c r="AF30" s="382"/>
      <c r="AG30" s="2307" t="str">
        <f>IF(TITLE_IST_PUB_CHANGE="",IF(TITLE_IST_PUB="","",TITLE_IST_PUB),TITLE_IST_PUB_CHANGE)</f>
        <v>Газета "Курская правда" №155 от 26.12.2024 г.</v>
      </c>
      <c r="AH30" s="2307"/>
      <c r="AI30" s="2307"/>
      <c r="AJ30" s="2307"/>
      <c r="AK30" s="2307"/>
      <c r="AL30" s="2307"/>
      <c r="AM30" s="2307"/>
      <c r="AN30" s="2307"/>
      <c r="AO30" s="2307"/>
      <c r="AP30" s="2307"/>
      <c r="AQ30" s="382"/>
      <c r="AR30" s="382"/>
      <c r="AS30" s="336"/>
      <c r="AT30" s="424"/>
      <c r="AU30" s="424"/>
      <c r="AV30" s="424"/>
      <c r="AW30" s="424"/>
      <c r="AX30" s="424"/>
      <c r="AY30" s="474">
        <v>0</v>
      </c>
    </row>
    <row customHeight="1" ht="14.25" hidden="1">
      <c r="Q31" s="432"/>
      <c r="R31" s="432"/>
      <c r="S31" s="1331"/>
      <c r="T31" s="419"/>
      <c r="U31" s="419"/>
      <c r="V31" s="378"/>
      <c r="W31" s="378"/>
      <c r="X31" s="378"/>
      <c r="Y31" s="378"/>
      <c r="Z31" s="378"/>
      <c r="AA31" s="378"/>
      <c r="AB31" s="378"/>
      <c r="AC31" s="378"/>
      <c r="AD31" s="378"/>
      <c r="AE31" s="378"/>
      <c r="AF31" s="378"/>
      <c r="AG31" s="378"/>
      <c r="AH31" s="378"/>
      <c r="AI31" s="378"/>
      <c r="AJ31" s="378"/>
      <c r="AK31" s="378"/>
      <c r="AL31" s="378"/>
      <c r="AM31" s="378"/>
      <c r="AN31" s="378"/>
      <c r="AO31" s="378"/>
      <c r="AP31" s="378"/>
      <c r="AQ31" s="378"/>
      <c r="AR31" s="565"/>
      <c r="AY31" s="1211">
        <v>0</v>
      </c>
    </row>
    <row s="2983" customFormat="1" customHeight="1" ht="18.75" hidden="1">
      <c r="A32" s="1424"/>
      <c r="B32" s="1424"/>
      <c r="C32" s="1424"/>
      <c r="D32" s="1424"/>
      <c r="E32" s="1424"/>
      <c r="F32" s="1424"/>
      <c r="G32" s="1424"/>
      <c r="H32" s="1424"/>
      <c r="I32" s="1424"/>
      <c r="J32" s="1424"/>
      <c r="K32" s="1424"/>
      <c r="L32" s="1425"/>
      <c r="M32" s="1424"/>
      <c r="N32" s="1424"/>
      <c r="O32" s="1424"/>
      <c r="S32" s="2306" t="s">
        <v>555</v>
      </c>
      <c r="T32" s="2306"/>
      <c r="U32" s="1428"/>
      <c r="V32" s="2320" t="str">
        <f>IF(TITLE_DATE_PR_CHANGE="",IF(TITLE_DATE_PR="","",TITLE_DATE_PR),TITLE_DATE_PR_CHANGE)</f>
        <v>45645</v>
      </c>
      <c r="W32" s="2320"/>
      <c r="X32" s="2320"/>
      <c r="Y32" s="2320"/>
      <c r="Z32" s="2320"/>
      <c r="AA32" s="2320"/>
      <c r="AB32" s="2320"/>
      <c r="AC32" s="2320"/>
      <c r="AD32" s="2320"/>
      <c r="AE32" s="2320"/>
      <c r="AF32" s="382"/>
      <c r="AG32" s="2320" t="str">
        <f>IF(TITLE_DATE_PR_CHANGE="",IF(TITLE_DATE_PR="","",TITLE_DATE_PR),TITLE_DATE_PR_CHANGE)</f>
        <v>45645</v>
      </c>
      <c r="AH32" s="2320"/>
      <c r="AI32" s="2320"/>
      <c r="AJ32" s="2320"/>
      <c r="AK32" s="2320"/>
      <c r="AL32" s="2320"/>
      <c r="AM32" s="2320"/>
      <c r="AN32" s="2320"/>
      <c r="AO32" s="2320"/>
      <c r="AP32" s="2320"/>
      <c r="AQ32" s="382"/>
      <c r="AR32" s="382"/>
      <c r="AS32" s="336"/>
      <c r="AT32" s="424"/>
      <c r="AU32" s="424"/>
      <c r="AV32" s="424"/>
      <c r="AW32" s="424"/>
      <c r="AX32" s="424"/>
      <c r="AY32" s="474">
        <v>0</v>
      </c>
    </row>
    <row s="2983" customFormat="1" customHeight="1" ht="18.75" hidden="1">
      <c r="A33" s="1424"/>
      <c r="B33" s="1424"/>
      <c r="C33" s="1424"/>
      <c r="D33" s="1424"/>
      <c r="E33" s="1424"/>
      <c r="F33" s="1424"/>
      <c r="G33" s="1424"/>
      <c r="H33" s="1424"/>
      <c r="I33" s="1424"/>
      <c r="J33" s="1424"/>
      <c r="K33" s="1424"/>
      <c r="L33" s="1425"/>
      <c r="M33" s="1424"/>
      <c r="N33" s="1424"/>
      <c r="O33" s="1424"/>
      <c r="S33" s="2306" t="s">
        <v>556</v>
      </c>
      <c r="T33" s="2306"/>
      <c r="U33" s="1428"/>
      <c r="V33" s="2307" t="str">
        <f>IF(TITLE_NUMBER_PR_CHANGE="",IF(TITLE_NUMBER_PR="","",TITLE_NUMBER_PR),TITLE_NUMBER_PR_CHANGE)</f>
        <v>208-вод</v>
      </c>
      <c r="W33" s="2307"/>
      <c r="X33" s="2307"/>
      <c r="Y33" s="2307"/>
      <c r="Z33" s="2307"/>
      <c r="AA33" s="2307"/>
      <c r="AB33" s="2307"/>
      <c r="AC33" s="2307"/>
      <c r="AD33" s="2307"/>
      <c r="AE33" s="2307"/>
      <c r="AF33" s="382"/>
      <c r="AG33" s="2307" t="str">
        <f>IF(TITLE_NUMBER_PR_CHANGE="",IF(TITLE_NUMBER_PR="","",TITLE_NUMBER_PR),TITLE_NUMBER_PR_CHANGE)</f>
        <v>208-вод</v>
      </c>
      <c r="AH33" s="2307"/>
      <c r="AI33" s="2307"/>
      <c r="AJ33" s="2307"/>
      <c r="AK33" s="2307"/>
      <c r="AL33" s="2307"/>
      <c r="AM33" s="2307"/>
      <c r="AN33" s="2307"/>
      <c r="AO33" s="2307"/>
      <c r="AP33" s="2307"/>
      <c r="AQ33" s="382"/>
      <c r="AR33" s="382"/>
      <c r="AS33" s="336"/>
      <c r="AT33" s="424"/>
      <c r="AU33" s="424"/>
      <c r="AV33" s="424"/>
      <c r="AW33" s="424"/>
      <c r="AX33" s="424"/>
      <c r="AY33" s="474">
        <v>0</v>
      </c>
    </row>
    <row s="2983" customFormat="1" customHeight="1" ht="1.05">
      <c r="A34" s="1424"/>
      <c r="B34" s="1424"/>
      <c r="C34" s="1424"/>
      <c r="D34" s="1424"/>
      <c r="E34" s="1424"/>
      <c r="F34" s="1424"/>
      <c r="G34" s="1424"/>
      <c r="H34" s="1424"/>
      <c r="I34" s="1424"/>
      <c r="J34" s="1424"/>
      <c r="K34" s="1424"/>
      <c r="L34" s="1425"/>
      <c r="M34" s="1424"/>
      <c r="N34" s="1424"/>
      <c r="O34" s="1424"/>
      <c r="S34" s="379"/>
      <c r="T34" s="379"/>
      <c r="U34" s="1544"/>
      <c r="V34" s="382"/>
      <c r="W34" s="1691"/>
      <c r="X34" s="1691"/>
      <c r="Y34" s="1691"/>
      <c r="Z34" s="1691"/>
      <c r="AA34" s="1691"/>
      <c r="AB34" s="382"/>
      <c r="AC34" s="382"/>
      <c r="AD34" s="382"/>
      <c r="AE34" s="382"/>
      <c r="AF34" s="334" t="s">
        <v>557</v>
      </c>
      <c r="AG34" s="382"/>
      <c r="AH34" s="1691"/>
      <c r="AI34" s="1691"/>
      <c r="AJ34" s="1691"/>
      <c r="AK34" s="1691"/>
      <c r="AL34" s="1691"/>
      <c r="AM34" s="382"/>
      <c r="AN34" s="382"/>
      <c r="AO34" s="382"/>
      <c r="AP34" s="382"/>
      <c r="AQ34" s="334" t="s">
        <v>557</v>
      </c>
      <c r="AT34" s="424"/>
      <c r="AU34" s="424"/>
      <c r="AV34" s="424"/>
      <c r="AW34" s="424"/>
      <c r="AX34" s="424"/>
      <c r="AY34" s="474">
        <v>1</v>
      </c>
    </row>
    <row customHeight="1" ht="14.699999999999998">
      <c r="Q35" s="432"/>
      <c r="R35" s="432"/>
      <c r="S35" s="1331"/>
      <c r="T35" s="419"/>
      <c r="U35" s="1300"/>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Y35" s="1211">
        <v>14</v>
      </c>
    </row>
    <row customHeight="1" ht="14.699999999999998">
      <c r="Q36" s="432"/>
      <c r="R36" s="432"/>
      <c r="S36" s="2183" t="s">
        <v>432</v>
      </c>
      <c r="T36" s="2183"/>
      <c r="U36" s="2183"/>
      <c r="V36" s="2183"/>
      <c r="W36" s="2183"/>
      <c r="X36" s="2183"/>
      <c r="Y36" s="2183"/>
      <c r="Z36" s="2183"/>
      <c r="AA36" s="2183"/>
      <c r="AB36" s="2183"/>
      <c r="AC36" s="2183"/>
      <c r="AD36" s="2183"/>
      <c r="AE36" s="2183"/>
      <c r="AF36" s="2183"/>
      <c r="AG36" s="2183"/>
      <c r="AH36" s="2183"/>
      <c r="AI36" s="2183"/>
      <c r="AJ36" s="2183"/>
      <c r="AK36" s="2183"/>
      <c r="AL36" s="2183"/>
      <c r="AM36" s="2183"/>
      <c r="AN36" s="2183"/>
      <c r="AO36" s="2183"/>
      <c r="AP36" s="2183"/>
      <c r="AQ36" s="2183"/>
      <c r="AR36" s="2183"/>
      <c r="AS36" s="2183" t="s">
        <v>433</v>
      </c>
      <c r="AY36" s="1211">
        <v>14</v>
      </c>
    </row>
    <row customHeight="1" ht="14.699999999999998">
      <c r="Q37" s="432"/>
      <c r="R37" s="432"/>
      <c r="S37" s="2329" t="s">
        <v>92</v>
      </c>
      <c r="T37" s="2265" t="s">
        <v>558</v>
      </c>
      <c r="U37" s="357"/>
      <c r="V37" s="2330" t="s">
        <v>559</v>
      </c>
      <c r="W37" s="2331"/>
      <c r="X37" s="2331"/>
      <c r="Y37" s="2331"/>
      <c r="Z37" s="2331"/>
      <c r="AA37" s="2331"/>
      <c r="AB37" s="2331"/>
      <c r="AC37" s="2331"/>
      <c r="AD37" s="2331"/>
      <c r="AE37" s="2332"/>
      <c r="AF37" s="2333" t="s">
        <v>560</v>
      </c>
      <c r="AG37" s="2330" t="s">
        <v>559</v>
      </c>
      <c r="AH37" s="2331"/>
      <c r="AI37" s="2331"/>
      <c r="AJ37" s="2331"/>
      <c r="AK37" s="2331"/>
      <c r="AL37" s="2331"/>
      <c r="AM37" s="2331"/>
      <c r="AN37" s="2331"/>
      <c r="AO37" s="2331"/>
      <c r="AP37" s="2332"/>
      <c r="AQ37" s="2333" t="s">
        <v>561</v>
      </c>
      <c r="AR37" s="2336" t="s">
        <v>562</v>
      </c>
      <c r="AS37" s="2183"/>
      <c r="AY37" s="1211">
        <v>14</v>
      </c>
    </row>
    <row s="2774" customFormat="1" customHeight="1" ht="19.95">
      <c r="A38" s="1422"/>
      <c r="B38" s="1422"/>
      <c r="C38" s="1422"/>
      <c r="D38" s="1422"/>
      <c r="E38" s="1422"/>
      <c r="F38" s="1422"/>
      <c r="G38" s="1422"/>
      <c r="H38" s="1422"/>
      <c r="I38" s="1422"/>
      <c r="J38" s="1422"/>
      <c r="K38" s="1422"/>
      <c r="L38" s="2036"/>
      <c r="M38" s="1418"/>
      <c r="N38" s="1418"/>
      <c r="O38" s="1418"/>
      <c r="P38" s="2037"/>
      <c r="Q38" s="432"/>
      <c r="R38" s="432"/>
      <c r="S38" s="2329"/>
      <c r="T38" s="2265"/>
      <c r="U38" s="1087"/>
      <c r="V38" s="2422" t="s">
        <v>665</v>
      </c>
      <c r="W38" s="2421" t="s">
        <v>666</v>
      </c>
      <c r="X38" s="2421"/>
      <c r="Y38" s="2421"/>
      <c r="Z38" s="2421" t="s">
        <v>667</v>
      </c>
      <c r="AA38" s="2421"/>
      <c r="AB38" s="2421"/>
      <c r="AC38" s="2350" t="s">
        <v>566</v>
      </c>
      <c r="AD38" s="2369"/>
      <c r="AE38" s="2370"/>
      <c r="AF38" s="2334"/>
      <c r="AG38" s="2422" t="s">
        <v>665</v>
      </c>
      <c r="AH38" s="2421" t="s">
        <v>666</v>
      </c>
      <c r="AI38" s="2421"/>
      <c r="AJ38" s="2421"/>
      <c r="AK38" s="2421" t="s">
        <v>667</v>
      </c>
      <c r="AL38" s="2421"/>
      <c r="AM38" s="2421"/>
      <c r="AN38" s="2350" t="s">
        <v>566</v>
      </c>
      <c r="AO38" s="2369"/>
      <c r="AP38" s="2370"/>
      <c r="AQ38" s="2334"/>
      <c r="AR38" s="2337"/>
      <c r="AS38" s="2183"/>
      <c r="AT38" s="1692"/>
      <c r="AU38" s="1692"/>
      <c r="AV38" s="1692"/>
      <c r="AW38" s="1692"/>
      <c r="AX38" s="1692"/>
      <c r="AY38" s="1687">
        <v>19</v>
      </c>
    </row>
    <row customHeight="1" ht="19.95">
      <c r="Q39" s="432"/>
      <c r="R39" s="432"/>
      <c r="S39" s="2329"/>
      <c r="T39" s="2265"/>
      <c r="U39" s="1087"/>
      <c r="V39" s="2422"/>
      <c r="W39" s="2421" t="s">
        <v>668</v>
      </c>
      <c r="X39" s="2421" t="s">
        <v>669</v>
      </c>
      <c r="Y39" s="2421"/>
      <c r="Z39" s="2421" t="s">
        <v>670</v>
      </c>
      <c r="AA39" s="2421" t="s">
        <v>669</v>
      </c>
      <c r="AB39" s="2421"/>
      <c r="AC39" s="2351"/>
      <c r="AD39" s="2371"/>
      <c r="AE39" s="2372"/>
      <c r="AF39" s="2334"/>
      <c r="AG39" s="2422"/>
      <c r="AH39" s="2421" t="s">
        <v>668</v>
      </c>
      <c r="AI39" s="2421" t="s">
        <v>669</v>
      </c>
      <c r="AJ39" s="2421"/>
      <c r="AK39" s="2421" t="s">
        <v>670</v>
      </c>
      <c r="AL39" s="2421" t="s">
        <v>669</v>
      </c>
      <c r="AM39" s="2421"/>
      <c r="AN39" s="2351"/>
      <c r="AO39" s="2371"/>
      <c r="AP39" s="2372"/>
      <c r="AQ39" s="2334"/>
      <c r="AR39" s="2337"/>
      <c r="AS39" s="2183"/>
      <c r="AY39" s="1211">
        <v>19</v>
      </c>
    </row>
    <row customHeight="1" ht="61.949999999999996">
      <c r="A40" s="1426"/>
      <c r="B40" s="1426" t="s">
        <v>214</v>
      </c>
      <c r="C40" s="1426" t="s">
        <v>215</v>
      </c>
      <c r="D40" s="1426" t="s">
        <v>216</v>
      </c>
      <c r="E40" s="1420" t="s">
        <v>567</v>
      </c>
      <c r="F40" s="1420" t="s">
        <v>568</v>
      </c>
      <c r="G40" s="1420" t="s">
        <v>569</v>
      </c>
      <c r="H40" s="1420"/>
      <c r="I40" s="1420" t="s">
        <v>619</v>
      </c>
      <c r="J40" s="1420" t="s">
        <v>572</v>
      </c>
      <c r="K40" s="1420" t="s">
        <v>620</v>
      </c>
      <c r="L40" s="1420" t="s">
        <v>548</v>
      </c>
      <c r="Q40" s="432"/>
      <c r="R40" s="432"/>
      <c r="S40" s="2329"/>
      <c r="T40" s="2265"/>
      <c r="U40" s="358"/>
      <c r="V40" s="2422"/>
      <c r="W40" s="2421"/>
      <c r="X40" s="2039" t="s">
        <v>671</v>
      </c>
      <c r="Y40" s="2039" t="s">
        <v>672</v>
      </c>
      <c r="Z40" s="2421"/>
      <c r="AA40" s="2039" t="s">
        <v>673</v>
      </c>
      <c r="AB40" s="2039" t="s">
        <v>674</v>
      </c>
      <c r="AC40" s="1545" t="s">
        <v>576</v>
      </c>
      <c r="AD40" s="2326" t="s">
        <v>577</v>
      </c>
      <c r="AE40" s="2327"/>
      <c r="AF40" s="2335"/>
      <c r="AG40" s="2422"/>
      <c r="AH40" s="2421"/>
      <c r="AI40" s="2039" t="s">
        <v>671</v>
      </c>
      <c r="AJ40" s="2039" t="s">
        <v>672</v>
      </c>
      <c r="AK40" s="2421"/>
      <c r="AL40" s="2039" t="s">
        <v>673</v>
      </c>
      <c r="AM40" s="2039" t="s">
        <v>674</v>
      </c>
      <c r="AN40" s="1545" t="s">
        <v>576</v>
      </c>
      <c r="AO40" s="2326" t="s">
        <v>577</v>
      </c>
      <c r="AP40" s="2327"/>
      <c r="AQ40" s="2335"/>
      <c r="AR40" s="2338"/>
      <c r="AS40" s="2183"/>
      <c r="AY40" s="1211">
        <v>59</v>
      </c>
    </row>
    <row s="3442" customFormat="1" customHeight="1" ht="11.25" hidden="1">
      <c r="A41" s="1426"/>
      <c r="B41" s="1426"/>
      <c r="C41" s="1426"/>
      <c r="D41" s="1426"/>
      <c r="E41" s="1426"/>
      <c r="F41" s="1426"/>
      <c r="G41" s="1426"/>
      <c r="H41" s="1426"/>
      <c r="I41" s="1426"/>
      <c r="J41" s="1426"/>
      <c r="K41" s="1426"/>
      <c r="L41" s="1420"/>
      <c r="M41" s="1418"/>
      <c r="N41" s="1418"/>
      <c r="O41" s="1418"/>
      <c r="P41" s="1302"/>
      <c r="Q41" s="1303"/>
      <c r="R41" s="1310">
        <v>1</v>
      </c>
      <c r="S41" s="1333" t="s">
        <v>191</v>
      </c>
      <c r="T41" s="1311" t="s">
        <v>108</v>
      </c>
      <c r="U41" s="1301" t="str">
        <f>OFFSET(U41,0,-1)</f>
        <v>2</v>
      </c>
      <c r="V41" s="1538">
        <f>OFFSET(V41,0,-1)+1</f>
        <v>3</v>
      </c>
      <c r="W41" s="2035"/>
      <c r="X41" s="2035"/>
      <c r="Y41" s="2035"/>
      <c r="Z41" s="2035"/>
      <c r="AA41" s="2035"/>
      <c r="AB41" s="1538">
        <f>OFFSET(AB41,0,-1)+1</f>
        <v>1</v>
      </c>
      <c r="AC41" s="1538">
        <f>OFFSET(AC41,0,-1)+1</f>
        <v>2</v>
      </c>
      <c r="AD41" s="2328">
        <f>OFFSET(AD41,0,-1)+1</f>
        <v>3</v>
      </c>
      <c r="AE41" s="2328"/>
      <c r="AF41" s="1538">
        <f>OFFSET(AF41,0,-2)+1</f>
        <v>4</v>
      </c>
      <c r="AG41" s="1538">
        <f>OFFSET(AG41,0,-1)+1</f>
        <v>5</v>
      </c>
      <c r="AH41" s="2035"/>
      <c r="AI41" s="2035"/>
      <c r="AJ41" s="2035"/>
      <c r="AK41" s="2035"/>
      <c r="AL41" s="2035"/>
      <c r="AM41" s="1538">
        <f>OFFSET(AM41,0,-1)+1</f>
        <v>1</v>
      </c>
      <c r="AN41" s="1538">
        <f>OFFSET(AN41,0,-1)+1</f>
        <v>2</v>
      </c>
      <c r="AO41" s="2328">
        <f>OFFSET(AO41,0,-1)+1</f>
        <v>3</v>
      </c>
      <c r="AP41" s="2328"/>
      <c r="AQ41" s="1538">
        <f>OFFSET(AQ41,0,-2)+1</f>
        <v>4</v>
      </c>
      <c r="AR41" s="1301">
        <f>OFFSET(AR41,0,-1)</f>
        <v>4</v>
      </c>
      <c r="AS41" s="1538">
        <f>OFFSET(AS41,0,-1)+1</f>
        <v>5</v>
      </c>
      <c r="AT41" s="567"/>
      <c r="AU41" s="567"/>
      <c r="AV41" s="567"/>
      <c r="AW41" s="567"/>
      <c r="AX41" s="567"/>
      <c r="AY41" s="552">
        <v>0</v>
      </c>
    </row>
    <row customHeight="1" ht="24">
      <c r="A42" s="1419" t="s">
        <v>388</v>
      </c>
      <c r="B42" s="1419"/>
      <c r="C42" s="1419"/>
      <c r="D42" s="1419"/>
      <c r="E42" s="2314">
        <v>1</v>
      </c>
      <c r="F42" s="1419"/>
      <c r="G42" s="1419"/>
      <c r="H42" s="1419"/>
      <c r="I42" s="1419"/>
      <c r="J42" s="1419"/>
      <c r="K42" s="1419"/>
      <c r="L42" s="1420"/>
      <c r="M42" s="1421"/>
      <c r="N42" s="1421"/>
      <c r="O42" s="1421"/>
      <c r="P42" s="417"/>
      <c r="Q42" s="416"/>
      <c r="R42" s="411"/>
      <c r="S42" s="1549">
        <f>INDEX(PT_DIFFERENTIATION_NUM_NTAR,MATCH(A42,PT_DIFFERENTIATION_NTAR_ID,0))</f>
        <v>0</v>
      </c>
      <c r="T42" s="354" t="s">
        <v>202</v>
      </c>
      <c r="U42" s="356"/>
      <c r="V42" s="2298"/>
      <c r="W42" s="2299"/>
      <c r="X42" s="2299"/>
      <c r="Y42" s="2299"/>
      <c r="Z42" s="2299"/>
      <c r="AA42" s="2299"/>
      <c r="AB42" s="2299"/>
      <c r="AC42" s="2299"/>
      <c r="AD42" s="2299"/>
      <c r="AE42" s="2299"/>
      <c r="AF42" s="2300"/>
      <c r="AG42" s="2298" t="str">
        <f>INDEX(PT_DIFFERENTIATION_NTAR,MATCH(A42,PT_DIFFERENTIATION_NTAR_ID,0))</f>
        <v/>
      </c>
      <c r="AH42" s="2299"/>
      <c r="AI42" s="2299"/>
      <c r="AJ42" s="2299"/>
      <c r="AK42" s="2299"/>
      <c r="AL42" s="2299"/>
      <c r="AM42" s="2299"/>
      <c r="AN42" s="2299"/>
      <c r="AO42" s="2299"/>
      <c r="AP42" s="2299"/>
      <c r="AQ42" s="2299"/>
      <c r="AR42" s="2300"/>
      <c r="AS4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56"/>
      <c r="AV42" s="556" t="str">
        <f>IF(T42="","",T42)</f>
        <v>Наименование тарифа</v>
      </c>
      <c r="AW42" s="556"/>
      <c r="AX42" s="556"/>
      <c r="AY42" s="1211">
        <v>23</v>
      </c>
    </row>
    <row customHeight="1" ht="24">
      <c r="A43" s="1419" t="s">
        <v>388</v>
      </c>
      <c r="B43" s="1419" t="s">
        <v>389</v>
      </c>
      <c r="C43" s="1419"/>
      <c r="D43" s="1419"/>
      <c r="E43" s="2315"/>
      <c r="F43" s="2314">
        <v>1</v>
      </c>
      <c r="G43" s="1419"/>
      <c r="H43" s="1419"/>
      <c r="I43" s="1419"/>
      <c r="J43" s="1419"/>
      <c r="K43" s="1419"/>
      <c r="L43" s="1420"/>
      <c r="M43" s="1421"/>
      <c r="N43" s="1421"/>
      <c r="O43" s="1421"/>
      <c r="P43" s="1543"/>
      <c r="Q43" s="408"/>
      <c r="R43" s="409"/>
      <c r="S43" s="1549" t="str">
        <f>INDEX(PT_DIFFERENTIATION_NUM_TER,MATCH(B43,PT_DIFFERENTIATION_TER_ID,0))</f>
        <v>.</v>
      </c>
      <c r="T43" s="364" t="s">
        <v>529</v>
      </c>
      <c r="U43" s="356"/>
      <c r="V43" s="2298"/>
      <c r="W43" s="2299"/>
      <c r="X43" s="2299"/>
      <c r="Y43" s="2299"/>
      <c r="Z43" s="2299"/>
      <c r="AA43" s="2299"/>
      <c r="AB43" s="2299"/>
      <c r="AC43" s="2299"/>
      <c r="AD43" s="2299"/>
      <c r="AE43" s="2299"/>
      <c r="AF43" s="2300"/>
      <c r="AG43" s="2298" t="str">
        <f>INDEX(PT_DIFFERENTIATION_TER,MATCH(B43,PT_DIFFERENTIATION_TER_ID,0))</f>
        <v/>
      </c>
      <c r="AH43" s="2299"/>
      <c r="AI43" s="2299"/>
      <c r="AJ43" s="2299"/>
      <c r="AK43" s="2299"/>
      <c r="AL43" s="2299"/>
      <c r="AM43" s="2299"/>
      <c r="AN43" s="2299"/>
      <c r="AO43" s="2299"/>
      <c r="AP43" s="2299"/>
      <c r="AQ43" s="2299"/>
      <c r="AR43" s="2300"/>
      <c r="AS43" s="1314" t="s">
        <v>530</v>
      </c>
      <c r="AU43" s="556"/>
      <c r="AV43" s="556" t="str">
        <f>IF(T43="","",T43)</f>
        <v>Территория действия тарифа</v>
      </c>
      <c r="AW43" s="556"/>
      <c r="AX43" s="556"/>
      <c r="AY43" s="1211">
        <v>23</v>
      </c>
    </row>
    <row customHeight="1" ht="24">
      <c r="A44" s="1419" t="s">
        <v>388</v>
      </c>
      <c r="B44" s="1419" t="s">
        <v>389</v>
      </c>
      <c r="C44" s="1419" t="s">
        <v>390</v>
      </c>
      <c r="D44" s="1419"/>
      <c r="E44" s="2315"/>
      <c r="F44" s="2315"/>
      <c r="G44" s="2314">
        <v>1</v>
      </c>
      <c r="H44" s="1419"/>
      <c r="I44" s="1419"/>
      <c r="J44" s="1419"/>
      <c r="K44" s="1419"/>
      <c r="L44" s="1420"/>
      <c r="M44" s="1421"/>
      <c r="N44" s="1421"/>
      <c r="O44" s="1421"/>
      <c r="P44" s="410"/>
      <c r="Q44" s="408"/>
      <c r="R44" s="409"/>
      <c r="S44" s="1549" t="str">
        <f>INDEX(PT_DIFFERENTIATION_NUM_CS,MATCH(C44,PT_DIFFERENTIATION_CS_ID,0))</f>
        <v>..</v>
      </c>
      <c r="T44" s="365" t="s">
        <v>663</v>
      </c>
      <c r="U44" s="356"/>
      <c r="V44" s="2298"/>
      <c r="W44" s="2299"/>
      <c r="X44" s="2299"/>
      <c r="Y44" s="2299"/>
      <c r="Z44" s="2299"/>
      <c r="AA44" s="2299"/>
      <c r="AB44" s="2299"/>
      <c r="AC44" s="2299"/>
      <c r="AD44" s="2299"/>
      <c r="AE44" s="2299"/>
      <c r="AF44" s="2300"/>
      <c r="AG44" s="2298" t="str">
        <f>INDEX(PT_DIFFERENTIATION_CS,MATCH(C44,PT_DIFFERENTIATION_CS_ID,0))</f>
        <v/>
      </c>
      <c r="AH44" s="2299"/>
      <c r="AI44" s="2299"/>
      <c r="AJ44" s="2299"/>
      <c r="AK44" s="2299"/>
      <c r="AL44" s="2299"/>
      <c r="AM44" s="2299"/>
      <c r="AN44" s="2299"/>
      <c r="AO44" s="2299"/>
      <c r="AP44" s="2299"/>
      <c r="AQ44" s="2299"/>
      <c r="AR44" s="2300"/>
      <c r="AS44" s="1314" t="s">
        <v>664</v>
      </c>
      <c r="AU44" s="556"/>
      <c r="AV44" s="556" t="str">
        <f>IF(T44="","",T44)</f>
        <v>Наименование централизованной системы горячего водоснабжения</v>
      </c>
      <c r="AW44" s="556"/>
      <c r="AX44" s="556"/>
      <c r="AY44" s="1211">
        <v>23</v>
      </c>
    </row>
    <row customHeight="1" ht="24">
      <c r="A45" s="1419" t="s">
        <v>388</v>
      </c>
      <c r="B45" s="1419" t="s">
        <v>389</v>
      </c>
      <c r="C45" s="1419" t="s">
        <v>390</v>
      </c>
      <c r="D45" s="1419" t="s">
        <v>676</v>
      </c>
      <c r="E45" s="2315"/>
      <c r="F45" s="2315"/>
      <c r="G45" s="2315"/>
      <c r="H45" s="2315"/>
      <c r="I45" s="2312" t="str">
        <f>S44&amp;".1"</f>
        <v>...1</v>
      </c>
      <c r="J45" s="1419"/>
      <c r="K45" s="1419"/>
      <c r="L45" s="1420"/>
      <c r="P45" s="2313">
        <v>1</v>
      </c>
      <c r="Q45" s="1537"/>
      <c r="R45" s="412"/>
      <c r="S45" s="1549" t="str">
        <f>$I45</f>
        <v>...1</v>
      </c>
      <c r="T45" s="341" t="s">
        <v>612</v>
      </c>
      <c r="U45" s="356"/>
      <c r="V45" s="2406"/>
      <c r="W45" s="2407"/>
      <c r="X45" s="2407"/>
      <c r="Y45" s="2407"/>
      <c r="Z45" s="2407"/>
      <c r="AA45" s="2407"/>
      <c r="AB45" s="2407"/>
      <c r="AC45" s="2407"/>
      <c r="AD45" s="2407"/>
      <c r="AE45" s="2407"/>
      <c r="AF45" s="2408"/>
      <c r="AG45" s="2409"/>
      <c r="AH45" s="2410"/>
      <c r="AI45" s="2410"/>
      <c r="AJ45" s="2410"/>
      <c r="AK45" s="2410"/>
      <c r="AL45" s="2410"/>
      <c r="AM45" s="2410"/>
      <c r="AN45" s="2410"/>
      <c r="AO45" s="2410"/>
      <c r="AP45" s="2410"/>
      <c r="AQ45" s="2410"/>
      <c r="AR45" s="2411"/>
      <c r="AS45" s="1314" t="s">
        <v>613</v>
      </c>
      <c r="AU45" s="556"/>
      <c r="AV45" s="556" t="str">
        <f>IF(T45="","",T45)</f>
        <v>Наименование признака дифференциации</v>
      </c>
      <c r="AW45" s="556"/>
      <c r="AX45" s="556"/>
      <c r="AY45" s="1211">
        <v>23</v>
      </c>
    </row>
    <row customHeight="1" ht="24">
      <c r="A46" s="1419" t="s">
        <v>388</v>
      </c>
      <c r="B46" s="1419" t="s">
        <v>389</v>
      </c>
      <c r="C46" s="1419" t="s">
        <v>390</v>
      </c>
      <c r="D46" s="1419" t="s">
        <v>676</v>
      </c>
      <c r="E46" s="2315"/>
      <c r="F46" s="2315"/>
      <c r="G46" s="2315"/>
      <c r="H46" s="2315"/>
      <c r="I46" s="2342"/>
      <c r="J46" s="2312" t="str">
        <f>I45&amp;".1"</f>
        <v>...1.1</v>
      </c>
      <c r="K46" s="1419"/>
      <c r="L46" s="1420" t="s">
        <v>538</v>
      </c>
      <c r="P46" s="2313"/>
      <c r="Q46" s="2313">
        <v>1</v>
      </c>
      <c r="R46" s="413"/>
      <c r="S46" s="1549" t="str">
        <f>$J46</f>
        <v>...1.1</v>
      </c>
      <c r="T46" s="342" t="s">
        <v>539</v>
      </c>
      <c r="U46" s="356"/>
      <c r="V46" s="2301"/>
      <c r="W46" s="2302"/>
      <c r="X46" s="2302"/>
      <c r="Y46" s="2302"/>
      <c r="Z46" s="2302"/>
      <c r="AA46" s="2302"/>
      <c r="AB46" s="2302"/>
      <c r="AC46" s="2302"/>
      <c r="AD46" s="2302"/>
      <c r="AE46" s="2302"/>
      <c r="AF46" s="2303"/>
      <c r="AG46" s="2301"/>
      <c r="AH46" s="2302"/>
      <c r="AI46" s="2302"/>
      <c r="AJ46" s="2302"/>
      <c r="AK46" s="2302"/>
      <c r="AL46" s="2302"/>
      <c r="AM46" s="2302"/>
      <c r="AN46" s="2302"/>
      <c r="AO46" s="2302"/>
      <c r="AP46" s="2302"/>
      <c r="AQ46" s="2302"/>
      <c r="AR46" s="2303"/>
      <c r="AS46" s="1363" t="s">
        <v>614</v>
      </c>
      <c r="AU46" s="556"/>
      <c r="AV46" s="556" t="str">
        <f>IF(T46="","",T46)</f>
        <v>Группа потребителей</v>
      </c>
      <c r="AW46" s="556"/>
      <c r="AX46" s="556"/>
      <c r="AY46" s="1211">
        <v>23</v>
      </c>
    </row>
    <row customHeight="1" ht="24">
      <c r="A47" s="1419" t="s">
        <v>388</v>
      </c>
      <c r="B47" s="1419" t="s">
        <v>389</v>
      </c>
      <c r="C47" s="1419" t="s">
        <v>390</v>
      </c>
      <c r="D47" s="1419" t="s">
        <v>676</v>
      </c>
      <c r="E47" s="2315"/>
      <c r="F47" s="2315"/>
      <c r="G47" s="2315"/>
      <c r="H47" s="2315"/>
      <c r="I47" s="2342"/>
      <c r="J47" s="2342"/>
      <c r="K47" s="2312" t="str">
        <f>J46&amp;".1"</f>
        <v>...1.1.1</v>
      </c>
      <c r="L47" s="1420"/>
      <c r="P47" s="2313"/>
      <c r="Q47" s="2313"/>
      <c r="R47" s="413">
        <v>1</v>
      </c>
      <c r="S47" s="1549" t="str">
        <f>$K47</f>
        <v>...1.1.1</v>
      </c>
      <c r="T47" s="1493"/>
      <c r="U47" s="356"/>
      <c r="V47" s="1416"/>
      <c r="W47" s="1416"/>
      <c r="X47" s="1416"/>
      <c r="Y47" s="1416"/>
      <c r="Z47" s="1416"/>
      <c r="AA47" s="1416"/>
      <c r="AB47" s="1417"/>
      <c r="AC47" s="2323"/>
      <c r="AD47" s="2324" t="s">
        <v>65</v>
      </c>
      <c r="AE47" s="2323"/>
      <c r="AF47" s="2324" t="s">
        <v>65</v>
      </c>
      <c r="AG47" s="807"/>
      <c r="AH47" s="807"/>
      <c r="AI47" s="807"/>
      <c r="AJ47" s="807"/>
      <c r="AK47" s="807"/>
      <c r="AL47" s="807"/>
      <c r="AM47" s="1313"/>
      <c r="AN47" s="2321"/>
      <c r="AO47" s="2163" t="s">
        <v>65</v>
      </c>
      <c r="AP47" s="2343"/>
      <c r="AQ47" s="2163" t="s">
        <v>19</v>
      </c>
      <c r="AR47" s="1494"/>
      <c r="AS47" s="240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67">
        <f>STRCHECKDATE(V48:AR48)</f>
      </c>
      <c r="AU47" s="556"/>
      <c r="AV47" s="556" t="str">
        <f>IF(T47="","",T47)</f>
        <v/>
      </c>
      <c r="AW47" s="556"/>
      <c r="AX47" s="556"/>
      <c r="AY47" s="1211">
        <v>23</v>
      </c>
    </row>
    <row customHeight="1" ht="0">
      <c r="A48" s="1419" t="s">
        <v>388</v>
      </c>
      <c r="B48" s="1419" t="s">
        <v>389</v>
      </c>
      <c r="C48" s="1419" t="s">
        <v>390</v>
      </c>
      <c r="D48" s="1419" t="s">
        <v>676</v>
      </c>
      <c r="E48" s="2315"/>
      <c r="F48" s="2315"/>
      <c r="G48" s="2315"/>
      <c r="H48" s="2315"/>
      <c r="I48" s="2342"/>
      <c r="J48" s="2342"/>
      <c r="K48" s="2312"/>
      <c r="L48" s="1420"/>
      <c r="P48" s="2313"/>
      <c r="Q48" s="2313"/>
      <c r="R48" s="413"/>
      <c r="S48" s="1546"/>
      <c r="T48" s="356"/>
      <c r="U48" s="356"/>
      <c r="V48" s="1416"/>
      <c r="W48" s="1416"/>
      <c r="X48" s="1416"/>
      <c r="Y48" s="1416"/>
      <c r="Z48" s="1416"/>
      <c r="AA48" s="1416"/>
      <c r="AB48" s="384" t="str">
        <f>AC47&amp;"-"&amp;AE47</f>
        <v>-</v>
      </c>
      <c r="AC48" s="2324"/>
      <c r="AD48" s="2324"/>
      <c r="AE48" s="2324"/>
      <c r="AF48" s="2324"/>
      <c r="AG48" s="381"/>
      <c r="AH48" s="381"/>
      <c r="AI48" s="381"/>
      <c r="AJ48" s="381"/>
      <c r="AK48" s="381"/>
      <c r="AL48" s="381"/>
      <c r="AM48" s="384" t="str">
        <f>AN47&amp;"-"&amp;AP47</f>
        <v>-</v>
      </c>
      <c r="AN48" s="2322"/>
      <c r="AO48" s="2163"/>
      <c r="AP48" s="2344"/>
      <c r="AQ48" s="2163"/>
      <c r="AR48" s="1495"/>
      <c r="AS48" s="2405"/>
      <c r="AU48" s="556"/>
      <c r="AV48" s="556" t="str">
        <f>IF(T48="","",T48)</f>
        <v/>
      </c>
      <c r="AW48" s="556"/>
      <c r="AX48" s="556"/>
      <c r="AY48" s="1211">
        <v>0</v>
      </c>
    </row>
    <row customHeight="1" ht="21">
      <c r="A49" s="1419" t="s">
        <v>388</v>
      </c>
      <c r="B49" s="1419" t="s">
        <v>389</v>
      </c>
      <c r="C49" s="1419" t="s">
        <v>390</v>
      </c>
      <c r="D49" s="1419" t="s">
        <v>676</v>
      </c>
      <c r="E49" s="2315"/>
      <c r="F49" s="2315"/>
      <c r="G49" s="2315"/>
      <c r="H49" s="2315"/>
      <c r="I49" s="2342"/>
      <c r="J49" s="2312"/>
      <c r="K49" s="1419"/>
      <c r="L49" s="1420"/>
      <c r="P49" s="2313"/>
      <c r="Q49" s="2313"/>
      <c r="R49" s="412"/>
      <c r="S49" s="1334"/>
      <c r="T49" s="343" t="s">
        <v>615</v>
      </c>
      <c r="U49" s="423"/>
      <c r="V49" s="423"/>
      <c r="W49" s="656"/>
      <c r="X49" s="656"/>
      <c r="Y49" s="656"/>
      <c r="Z49" s="656"/>
      <c r="AA49" s="656"/>
      <c r="AB49" s="423"/>
      <c r="AC49" s="423"/>
      <c r="AD49" s="423"/>
      <c r="AE49" s="423"/>
      <c r="AF49" s="423"/>
      <c r="AG49" s="423"/>
      <c r="AH49" s="656"/>
      <c r="AI49" s="656"/>
      <c r="AJ49" s="656"/>
      <c r="AK49" s="656"/>
      <c r="AL49" s="656"/>
      <c r="AM49" s="423"/>
      <c r="AN49" s="423"/>
      <c r="AO49" s="423"/>
      <c r="AP49" s="423"/>
      <c r="AQ49" s="423"/>
      <c r="AR49" s="423"/>
      <c r="AS49" s="1314" t="s">
        <v>616</v>
      </c>
      <c r="AU49" s="556"/>
      <c r="AV49" s="556" t="str">
        <f>IF(T49="","",T49)</f>
        <v>Добавить значение признака дифференциации</v>
      </c>
      <c r="AW49" s="556"/>
      <c r="AX49" s="556"/>
      <c r="AY49" s="1211">
        <v>20</v>
      </c>
    </row>
    <row customHeight="1" ht="22.049999999999997">
      <c r="A50" s="1419" t="s">
        <v>388</v>
      </c>
      <c r="B50" s="1419" t="s">
        <v>389</v>
      </c>
      <c r="C50" s="1419" t="s">
        <v>390</v>
      </c>
      <c r="D50" s="1419" t="s">
        <v>676</v>
      </c>
      <c r="E50" s="2315"/>
      <c r="F50" s="2315"/>
      <c r="G50" s="2315"/>
      <c r="H50" s="2315"/>
      <c r="I50" s="2312"/>
      <c r="J50" s="1419"/>
      <c r="K50" s="1419"/>
      <c r="L50" s="1420"/>
      <c r="P50" s="2313"/>
      <c r="Q50" s="1537"/>
      <c r="R50" s="412"/>
      <c r="S50" s="1334"/>
      <c r="T50" s="421" t="s">
        <v>544</v>
      </c>
      <c r="U50" s="423"/>
      <c r="V50" s="423"/>
      <c r="W50" s="656"/>
      <c r="X50" s="656"/>
      <c r="Y50" s="656"/>
      <c r="Z50" s="656"/>
      <c r="AA50" s="656"/>
      <c r="AB50" s="423"/>
      <c r="AC50" s="423"/>
      <c r="AD50" s="423"/>
      <c r="AE50" s="423"/>
      <c r="AF50" s="422"/>
      <c r="AG50" s="423"/>
      <c r="AH50" s="656"/>
      <c r="AI50" s="656"/>
      <c r="AJ50" s="656"/>
      <c r="AK50" s="656"/>
      <c r="AL50" s="656"/>
      <c r="AM50" s="423"/>
      <c r="AN50" s="423"/>
      <c r="AO50" s="423"/>
      <c r="AP50" s="423"/>
      <c r="AQ50" s="422"/>
      <c r="AR50" s="423"/>
      <c r="AS50" s="1496"/>
      <c r="AU50" s="556"/>
      <c r="AV50" s="556" t="str">
        <f>IF(T50="","",T50)</f>
        <v>Добавить группу потребителей</v>
      </c>
      <c r="AW50" s="556"/>
      <c r="AX50" s="556"/>
      <c r="AY50" s="1211">
        <v>21</v>
      </c>
    </row>
    <row customHeight="1" ht="22.049999999999997">
      <c r="A51" s="1419" t="s">
        <v>388</v>
      </c>
      <c r="B51" s="1419" t="s">
        <v>389</v>
      </c>
      <c r="C51" s="1419" t="s">
        <v>390</v>
      </c>
      <c r="D51" s="1419" t="s">
        <v>676</v>
      </c>
      <c r="E51" s="2315"/>
      <c r="F51" s="2315"/>
      <c r="G51" s="2315"/>
      <c r="H51" s="2314"/>
      <c r="I51" s="1419"/>
      <c r="J51" s="1419"/>
      <c r="K51" s="1419"/>
      <c r="L51" s="1420"/>
      <c r="M51" s="1421"/>
      <c r="N51" s="1421"/>
      <c r="O51" s="593"/>
      <c r="P51" s="416"/>
      <c r="Q51" s="431"/>
      <c r="R51" s="411"/>
      <c r="S51" s="1334"/>
      <c r="T51" s="428" t="s">
        <v>617</v>
      </c>
      <c r="U51" s="423"/>
      <c r="V51" s="423"/>
      <c r="W51" s="656"/>
      <c r="X51" s="656"/>
      <c r="Y51" s="656"/>
      <c r="Z51" s="656"/>
      <c r="AA51" s="656"/>
      <c r="AB51" s="423"/>
      <c r="AC51" s="423"/>
      <c r="AD51" s="423"/>
      <c r="AE51" s="423"/>
      <c r="AF51" s="422"/>
      <c r="AG51" s="423"/>
      <c r="AH51" s="656"/>
      <c r="AI51" s="656"/>
      <c r="AJ51" s="656"/>
      <c r="AK51" s="656"/>
      <c r="AL51" s="656"/>
      <c r="AM51" s="423"/>
      <c r="AN51" s="423"/>
      <c r="AO51" s="423"/>
      <c r="AP51" s="423"/>
      <c r="AQ51" s="422"/>
      <c r="AR51" s="423"/>
      <c r="AS51" s="359"/>
      <c r="AU51" s="556"/>
      <c r="AV51" s="556" t="str">
        <f>IF(T51="","",T51)</f>
        <v>Добавить наименование признака дифференциации</v>
      </c>
      <c r="AW51" s="556"/>
      <c r="AX51" s="556"/>
      <c r="AY51" s="1211">
        <v>21</v>
      </c>
    </row>
    <row s="2851" customFormat="1" customHeight="1" ht="0">
      <c r="A52" s="1399" t="s">
        <v>388</v>
      </c>
      <c r="B52" s="1399" t="s">
        <v>389</v>
      </c>
      <c r="C52" s="1370"/>
      <c r="D52" s="1370"/>
      <c r="E52" s="2315"/>
      <c r="F52" s="2314"/>
      <c r="G52" s="1370"/>
      <c r="H52" s="1370"/>
      <c r="I52" s="1370"/>
      <c r="J52" s="1370"/>
      <c r="K52" s="1370"/>
      <c r="L52" s="1550"/>
      <c r="M52" s="1377"/>
      <c r="N52" s="1377"/>
      <c r="P52" s="1372"/>
      <c r="Q52" s="1373"/>
      <c r="R52" s="1372"/>
      <c r="S52" s="1378"/>
      <c r="T52" s="1381" t="s">
        <v>302</v>
      </c>
      <c r="U52" s="1380"/>
      <c r="V52" s="1380"/>
      <c r="W52" s="1380"/>
      <c r="X52" s="1380"/>
      <c r="Y52" s="1380"/>
      <c r="Z52" s="1380"/>
      <c r="AA52" s="1380"/>
      <c r="AB52" s="1380"/>
      <c r="AC52" s="1380"/>
      <c r="AD52" s="1380"/>
      <c r="AE52" s="1380"/>
      <c r="AF52" s="1380"/>
      <c r="AG52" s="1380"/>
      <c r="AH52" s="1380"/>
      <c r="AI52" s="1380"/>
      <c r="AJ52" s="1380"/>
      <c r="AK52" s="1380"/>
      <c r="AL52" s="1380"/>
      <c r="AM52" s="1380"/>
      <c r="AN52" s="1380"/>
      <c r="AO52" s="1380"/>
      <c r="AP52" s="1380"/>
      <c r="AQ52" s="1380"/>
      <c r="AR52" s="1380"/>
      <c r="AS52" s="1380"/>
      <c r="AU52" s="845"/>
      <c r="AV52" s="845" t="str">
        <f>IF(T52="","",T52)</f>
        <v>Добавить централизованную систему для дифференциации</v>
      </c>
      <c r="AW52" s="845"/>
      <c r="AX52" s="845"/>
      <c r="AY52" s="574">
        <v>0</v>
      </c>
    </row>
    <row s="2851" customFormat="1" customHeight="1" ht="0">
      <c r="A53" s="1399" t="s">
        <v>388</v>
      </c>
      <c r="B53" s="1399"/>
      <c r="C53" s="1399"/>
      <c r="D53" s="1399"/>
      <c r="E53" s="2314"/>
      <c r="F53" s="1399"/>
      <c r="G53" s="1399"/>
      <c r="H53" s="1399"/>
      <c r="I53" s="1399"/>
      <c r="J53" s="1399"/>
      <c r="K53" s="1399"/>
      <c r="L53" s="1402"/>
      <c r="M53" s="1377"/>
      <c r="N53" s="1377"/>
      <c r="O53" s="574"/>
      <c r="P53" s="436"/>
      <c r="Q53" s="1400"/>
      <c r="R53" s="436"/>
      <c r="S53" s="1378"/>
      <c r="T53" s="1381" t="s">
        <v>359</v>
      </c>
      <c r="U53" s="1380"/>
      <c r="V53" s="1380"/>
      <c r="W53" s="1380"/>
      <c r="X53" s="1380"/>
      <c r="Y53" s="1380"/>
      <c r="Z53" s="1380"/>
      <c r="AA53" s="1380"/>
      <c r="AB53" s="1380"/>
      <c r="AC53" s="1380"/>
      <c r="AD53" s="1380"/>
      <c r="AE53" s="1380"/>
      <c r="AF53" s="1380"/>
      <c r="AG53" s="1380"/>
      <c r="AH53" s="1380"/>
      <c r="AI53" s="1380"/>
      <c r="AJ53" s="1380"/>
      <c r="AK53" s="1380"/>
      <c r="AL53" s="1380"/>
      <c r="AM53" s="1380"/>
      <c r="AN53" s="1380"/>
      <c r="AO53" s="1380"/>
      <c r="AP53" s="1380"/>
      <c r="AQ53" s="1380"/>
      <c r="AR53" s="1380"/>
      <c r="AS53" s="1380"/>
      <c r="AU53" s="556"/>
      <c r="AV53" s="556" t="str">
        <f>IF(T53="","",T53)</f>
        <v>Добавить территорию для дифференциации</v>
      </c>
      <c r="AW53" s="556"/>
      <c r="AX53" s="556"/>
      <c r="AY53" s="567">
        <v>0</v>
      </c>
    </row>
    <row s="2851" customFormat="1" customHeight="1" ht="0">
      <c r="A54" s="1370"/>
      <c r="B54" s="1370"/>
      <c r="C54" s="1370"/>
      <c r="D54" s="1370"/>
      <c r="E54" s="1399"/>
      <c r="F54" s="1370"/>
      <c r="G54" s="1370"/>
      <c r="H54" s="1370"/>
      <c r="I54" s="1370"/>
      <c r="J54" s="1370"/>
      <c r="K54" s="1370"/>
      <c r="L54" s="1550"/>
      <c r="M54" s="1377"/>
      <c r="N54" s="1377"/>
      <c r="P54" s="1372"/>
      <c r="Q54" s="1373"/>
      <c r="R54" s="1372"/>
      <c r="S54" s="1378"/>
      <c r="T54" s="1381" t="s">
        <v>360</v>
      </c>
      <c r="U54" s="1380"/>
      <c r="V54" s="1380"/>
      <c r="W54" s="1380"/>
      <c r="X54" s="1380"/>
      <c r="Y54" s="1380"/>
      <c r="Z54" s="1380"/>
      <c r="AA54" s="1380"/>
      <c r="AB54" s="1380"/>
      <c r="AC54" s="1380"/>
      <c r="AD54" s="1380"/>
      <c r="AE54" s="1380"/>
      <c r="AF54" s="1380"/>
      <c r="AG54" s="1380"/>
      <c r="AH54" s="1380"/>
      <c r="AI54" s="1380"/>
      <c r="AJ54" s="1380"/>
      <c r="AK54" s="1380"/>
      <c r="AL54" s="1380"/>
      <c r="AM54" s="1380"/>
      <c r="AN54" s="1380"/>
      <c r="AO54" s="1380"/>
      <c r="AP54" s="1380"/>
      <c r="AQ54" s="1380"/>
      <c r="AR54" s="1380"/>
      <c r="AS54" s="1380"/>
      <c r="AU54" s="845"/>
      <c r="AV54" s="845" t="str">
        <f>IF(T54="","",T54)</f>
        <v>Добавить наименование тарифа</v>
      </c>
      <c r="AW54" s="845"/>
      <c r="AX54" s="845"/>
      <c r="AY54" s="574">
        <v>0</v>
      </c>
    </row>
    <row customHeight="1" ht="11.549999999999999">
      <c r="M55" s="1216"/>
      <c r="N55" s="1216"/>
      <c r="O55" s="593"/>
      <c r="P55" s="1211"/>
      <c r="Q55" s="1211"/>
      <c r="R55" s="1211"/>
      <c r="S55" s="1211"/>
      <c r="AT55" s="1211"/>
      <c r="AU55" s="1211"/>
      <c r="AV55" s="1211"/>
      <c r="AW55" s="1211"/>
      <c r="AX55" s="1211"/>
      <c r="AY55" s="1211">
        <v>11</v>
      </c>
    </row>
    <row customHeight="1" ht="14.699999999999998">
      <c r="O56" s="593"/>
      <c r="S56" s="1309"/>
      <c r="T56" s="2341"/>
      <c r="U56" s="2341"/>
      <c r="V56" s="2341"/>
      <c r="W56" s="2341"/>
      <c r="X56" s="2341"/>
      <c r="Y56" s="2341"/>
      <c r="Z56" s="2341"/>
      <c r="AA56" s="2341"/>
      <c r="AB56" s="2341"/>
      <c r="AC56" s="2341"/>
      <c r="AD56" s="2341"/>
      <c r="AE56" s="2341"/>
      <c r="AF56" s="2341"/>
      <c r="AG56" s="2341"/>
      <c r="AH56" s="2341"/>
      <c r="AI56" s="2341"/>
      <c r="AJ56" s="2341"/>
      <c r="AK56" s="2341"/>
      <c r="AL56" s="2341"/>
      <c r="AM56" s="2341"/>
      <c r="AN56" s="2341"/>
      <c r="AO56" s="2341"/>
      <c r="AP56" s="2341"/>
      <c r="AQ56" s="2341"/>
      <c r="AR56" s="2341"/>
      <c r="AS56" s="2341"/>
      <c r="AY56" s="1211">
        <v>14</v>
      </c>
    </row>
    <row customHeight="1" ht="14.699999999999998">
      <c r="O57" s="593"/>
      <c r="AY57" s="1211">
        <v>14</v>
      </c>
    </row>
    <row customHeight="1" ht="14.699999999999998">
      <c r="O58" s="593"/>
      <c r="S58" s="1309"/>
      <c r="T58" s="2341"/>
      <c r="U58" s="2341"/>
      <c r="V58" s="2341"/>
      <c r="W58" s="2341"/>
      <c r="X58" s="2341"/>
      <c r="Y58" s="2341"/>
      <c r="Z58" s="2341"/>
      <c r="AA58" s="2341"/>
      <c r="AB58" s="2341"/>
      <c r="AC58" s="2341"/>
      <c r="AD58" s="2341"/>
      <c r="AE58" s="2341"/>
      <c r="AF58" s="2341"/>
      <c r="AG58" s="2341"/>
      <c r="AH58" s="2341"/>
      <c r="AI58" s="2341"/>
      <c r="AJ58" s="2341"/>
      <c r="AK58" s="2341"/>
      <c r="AL58" s="2341"/>
      <c r="AM58" s="2341"/>
      <c r="AN58" s="2341"/>
      <c r="AO58" s="2341"/>
      <c r="AP58" s="2341"/>
      <c r="AQ58" s="2341"/>
      <c r="AR58" s="2341"/>
      <c r="AS58" s="2341"/>
      <c r="AY58" s="1211">
        <v>14</v>
      </c>
    </row>
    <row customHeight="1" ht="22.5" hidden="1">
      <c r="A59" s="1216" t="s">
        <v>86</v>
      </c>
      <c r="B59" s="1216">
        <v>0</v>
      </c>
      <c r="C59" s="1216">
        <v>0</v>
      </c>
      <c r="D59" s="1216">
        <v>0</v>
      </c>
      <c r="E59" s="1216">
        <v>0</v>
      </c>
      <c r="F59" s="1216">
        <v>0</v>
      </c>
      <c r="G59" s="1216">
        <v>0</v>
      </c>
      <c r="H59" s="1216">
        <v>0</v>
      </c>
      <c r="I59" s="1216">
        <v>0</v>
      </c>
      <c r="J59" s="1216">
        <v>0</v>
      </c>
      <c r="K59" s="1216">
        <v>0</v>
      </c>
      <c r="L59" s="1534">
        <v>0</v>
      </c>
      <c r="M59" s="1418">
        <v>0</v>
      </c>
      <c r="N59" s="1418">
        <v>0</v>
      </c>
      <c r="O59" s="1418">
        <v>0</v>
      </c>
      <c r="P59" s="1529">
        <v>3</v>
      </c>
      <c r="Q59" s="400">
        <v>3</v>
      </c>
      <c r="R59" s="400">
        <v>3</v>
      </c>
      <c r="S59" s="637">
        <v>12</v>
      </c>
      <c r="T59" s="1211">
        <v>35</v>
      </c>
      <c r="U59" s="1211">
        <v>0</v>
      </c>
      <c r="V59" s="1211">
        <v>0</v>
      </c>
      <c r="W59" s="1687">
        <v>0</v>
      </c>
      <c r="X59" s="1687">
        <v>0</v>
      </c>
      <c r="Y59" s="1687">
        <v>0</v>
      </c>
      <c r="Z59" s="1687">
        <v>0</v>
      </c>
      <c r="AA59" s="1687">
        <v>0</v>
      </c>
      <c r="AB59" s="1211">
        <v>0</v>
      </c>
      <c r="AC59" s="1211">
        <v>0</v>
      </c>
      <c r="AD59" s="1211">
        <v>0</v>
      </c>
      <c r="AE59" s="1211">
        <v>0</v>
      </c>
      <c r="AF59" s="1211">
        <v>0</v>
      </c>
      <c r="AG59" s="1211">
        <v>19</v>
      </c>
      <c r="AH59" s="1687">
        <v>19</v>
      </c>
      <c r="AI59" s="1687">
        <v>19</v>
      </c>
      <c r="AJ59" s="1687">
        <v>19</v>
      </c>
      <c r="AK59" s="1687">
        <v>19</v>
      </c>
      <c r="AL59" s="1687">
        <v>19</v>
      </c>
      <c r="AM59" s="1211">
        <v>19</v>
      </c>
      <c r="AN59" s="1211">
        <v>11</v>
      </c>
      <c r="AO59" s="1211">
        <v>3</v>
      </c>
      <c r="AP59" s="1211">
        <v>11</v>
      </c>
      <c r="AQ59" s="1211">
        <v>0</v>
      </c>
      <c r="AR59" s="1211">
        <v>4</v>
      </c>
      <c r="AS59" s="1211">
        <v>115</v>
      </c>
      <c r="AT59" s="567">
        <v>10</v>
      </c>
      <c r="AU59" s="567">
        <v>10</v>
      </c>
      <c r="AV59" s="567">
        <v>10</v>
      </c>
      <c r="AW59" s="567">
        <v>10</v>
      </c>
      <c r="AX59" s="567">
        <v>10</v>
      </c>
      <c r="AY59" s="1211">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208596-6B8C-9825-3491-573907FAD135}" mc:Ignorable="x14ac xr xr2 xr3">
  <sheetPr>
    <tabColor theme="6" tint="0.4"/>
  </sheetPr>
  <dimension ref="A1:BI69"/>
  <sheetViews>
    <sheetView topLeftCell="A1" showGridLines="0" zoomScale="90" workbookViewId="0">
      <selection activeCell="A1" sqref="A1"/>
    </sheetView>
  </sheetViews>
  <sheetFormatPr defaultColWidth="10.57421875" customHeight="1" defaultRowHeight="14.25"/>
  <cols>
    <col min="1" max="1" style="2850" width="11.57421875" hidden="1" customWidth="1"/>
    <col min="2" max="2" style="2850" width="11.00390625" hidden="1" customWidth="1"/>
    <col min="3" max="3" style="2850" width="10.57421875" hidden="1"/>
    <col min="4" max="4" style="2850" width="12.8515625" hidden="1" customWidth="1"/>
    <col min="5" max="5" style="2850" width="10.00390625" hidden="1" customWidth="1"/>
    <col min="6" max="6" style="2850" width="8.7109375" hidden="1" customWidth="1"/>
    <col min="7" max="7" style="2850" width="7.57421875" hidden="1" customWidth="1"/>
    <col min="8" max="8" style="2850" width="11.421875" hidden="1" customWidth="1"/>
    <col min="9" max="9" style="2850" width="12.00390625" hidden="1" customWidth="1"/>
    <col min="10" max="10" style="2850" width="9.8515625" hidden="1" customWidth="1"/>
    <col min="11" max="11" style="2850" width="11.421875" hidden="1" customWidth="1"/>
    <col min="12" max="12" style="3679" width="19.140625" hidden="1" customWidth="1"/>
    <col min="13" max="14" style="2792" width="12.28125" hidden="1" customWidth="1"/>
    <col min="15" max="15" style="2792" width="23.421875" hidden="1" customWidth="1"/>
    <col min="16" max="16" style="2792" width="3.7109375" hidden="1" customWidth="1"/>
    <col min="17" max="17" style="3602" width="3.7109375" hidden="1" customWidth="1"/>
    <col min="18" max="18" style="3677" width="3.00390625" customWidth="1"/>
    <col min="19" max="19" style="3681" width="12.00390625" customWidth="1"/>
    <col min="20" max="20" style="2774" width="31.00390625" customWidth="1"/>
    <col min="21" max="21" style="2774" width="0.140625" customWidth="1"/>
    <col min="22" max="25" style="2774" width="21.7109375" hidden="1" customWidth="1"/>
    <col min="26" max="26" style="2774" width="11.7109375" hidden="1" customWidth="1"/>
    <col min="27" max="27" style="2774" width="3.7109375" hidden="1" customWidth="1"/>
    <col min="28" max="28" style="2774" width="11.7109375" hidden="1" customWidth="1"/>
    <col min="29" max="29" style="2774" width="8.57421875" hidden="1" customWidth="1"/>
    <col min="30" max="30" style="2774" width="3.7109375" customWidth="1"/>
    <col min="31" max="32" style="2774" width="3.00390625" customWidth="1"/>
    <col min="33" max="33" style="2774" width="24.00390625" customWidth="1"/>
    <col min="34" max="34" style="2774" width="3.7109375" customWidth="1"/>
    <col min="35" max="36" style="2774" width="3.00390625" customWidth="1"/>
    <col min="37" max="37" style="2774" width="24.00390625" customWidth="1"/>
    <col min="38" max="38" style="2774" width="3.7109375" customWidth="1"/>
    <col min="39" max="40" style="2774" width="3.00390625" customWidth="1"/>
    <col min="41" max="41" style="2774" width="18.00390625" customWidth="1"/>
    <col min="42" max="42" style="2774" width="3.7109375" customWidth="1"/>
    <col min="43" max="44" style="2774" width="3.00390625" customWidth="1"/>
    <col min="45" max="45" style="2774" width="18.00390625" customWidth="1"/>
    <col min="46" max="49" style="2774" width="21.00390625" customWidth="1"/>
    <col min="50" max="50" style="2774" width="11.00390625" customWidth="1"/>
    <col min="51" max="51" style="2774" width="3.7109375" customWidth="1"/>
    <col min="52" max="52" style="2774" width="11.00390625" customWidth="1"/>
    <col min="53" max="53" style="2774" width="8.57421875" hidden="1" customWidth="1"/>
    <col min="54" max="54" style="2774" width="4.00390625" customWidth="1"/>
    <col min="55" max="55" style="2774" width="115.00390625" customWidth="1"/>
    <col min="56" max="60" style="2851" width="10.00390625" customWidth="1"/>
    <col min="61" max="61" style="2774" width="10.57421875" hidden="1"/>
  </cols>
  <sheetData>
    <row customHeight="1" ht="22.5" hidden="1">
      <c r="W1" s="383"/>
      <c r="Y1" s="383"/>
      <c r="Z1" s="383"/>
      <c r="AW1" s="383"/>
      <c r="AX1" s="383"/>
      <c r="BI1" s="1211" t="s">
        <v>14</v>
      </c>
    </row>
    <row customHeight="1" ht="21" hidden="1">
      <c r="A2" s="1419"/>
      <c r="B2" s="1419"/>
      <c r="C2" s="1419"/>
      <c r="D2" s="1419"/>
      <c r="E2" s="2314">
        <v>1</v>
      </c>
      <c r="F2" s="1419"/>
      <c r="G2" s="1419"/>
      <c r="H2" s="1419"/>
      <c r="I2" s="1419"/>
      <c r="J2" s="1419"/>
      <c r="K2" s="1419"/>
      <c r="L2" s="1420"/>
      <c r="M2" s="1421"/>
      <c r="N2" s="1421"/>
      <c r="O2" s="1421"/>
      <c r="P2" s="1465"/>
      <c r="Q2" s="929"/>
      <c r="R2" s="411"/>
      <c r="S2" s="1549">
        <f>INDEX(PT_DIFFERENTIATION_NUM_NTAR,MATCH(A2,PT_DIFFERENTIATION_NTAR_ID,0))</f>
      </c>
      <c r="T2" s="354" t="s">
        <v>202</v>
      </c>
      <c r="U2" s="356"/>
      <c r="V2" s="2299"/>
      <c r="W2" s="2299"/>
      <c r="X2" s="2299"/>
      <c r="Y2" s="2299"/>
      <c r="Z2" s="2299"/>
      <c r="AA2" s="2299"/>
      <c r="AB2" s="2299"/>
      <c r="AC2" s="2300"/>
      <c r="AD2" s="2298">
        <f>INDEX(PT_DIFFERENTIATION_NTAR,MATCH(A2,PT_DIFFERENTIATION_NTAR_ID,0))</f>
      </c>
      <c r="AE2" s="2299"/>
      <c r="AF2" s="2299"/>
      <c r="AG2" s="2299"/>
      <c r="AH2" s="2299"/>
      <c r="AI2" s="2299"/>
      <c r="AJ2" s="2299"/>
      <c r="AK2" s="2299"/>
      <c r="AL2" s="2299"/>
      <c r="AM2" s="2299"/>
      <c r="AN2" s="2299"/>
      <c r="AO2" s="2299"/>
      <c r="AP2" s="2299"/>
      <c r="AQ2" s="2299"/>
      <c r="AR2" s="2299"/>
      <c r="AS2" s="2299"/>
      <c r="AT2" s="2299"/>
      <c r="AU2" s="2299"/>
      <c r="AV2" s="2299"/>
      <c r="AW2" s="2299"/>
      <c r="AX2" s="2299"/>
      <c r="AY2" s="2299"/>
      <c r="AZ2" s="2299"/>
      <c r="BA2" s="2299"/>
      <c r="BB2" s="2300"/>
      <c r="BC2"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56"/>
      <c r="BF2" s="556" t="str">
        <f>IF(T2="","",T2)</f>
        <v>Наименование тарифа</v>
      </c>
      <c r="BG2" s="556"/>
      <c r="BH2" s="556"/>
      <c r="BI2" s="1211">
        <v>0</v>
      </c>
    </row>
    <row customHeight="1" ht="21" hidden="1">
      <c r="A3" s="1419"/>
      <c r="B3" s="1419"/>
      <c r="C3" s="1419"/>
      <c r="D3" s="1419"/>
      <c r="E3" s="2315"/>
      <c r="F3" s="2314">
        <v>1</v>
      </c>
      <c r="G3" s="1419"/>
      <c r="H3" s="1419"/>
      <c r="I3" s="1419"/>
      <c r="J3" s="1419"/>
      <c r="K3" s="1419"/>
      <c r="L3" s="1420"/>
      <c r="M3" s="1421"/>
      <c r="N3" s="1421"/>
      <c r="O3" s="1421"/>
      <c r="P3" s="1466"/>
      <c r="Q3" s="1467"/>
      <c r="R3" s="409"/>
      <c r="S3" s="1549">
        <f>INDEX(PT_DIFFERENTIATION_NUM_TER,MATCH(B3,PT_DIFFERENTIATION_TER_ID,0))</f>
      </c>
      <c r="T3" s="364" t="s">
        <v>529</v>
      </c>
      <c r="U3" s="356"/>
      <c r="V3" s="2299"/>
      <c r="W3" s="2299"/>
      <c r="X3" s="2299"/>
      <c r="Y3" s="2299"/>
      <c r="Z3" s="2299"/>
      <c r="AA3" s="2299"/>
      <c r="AB3" s="2299"/>
      <c r="AC3" s="2300"/>
      <c r="AD3" s="2298">
        <f>INDEX(PT_DIFFERENTIATION_TER,MATCH(B3,PT_DIFFERENTIATION_TER_ID,0))</f>
      </c>
      <c r="AE3" s="2299"/>
      <c r="AF3" s="2299"/>
      <c r="AG3" s="2299"/>
      <c r="AH3" s="2299"/>
      <c r="AI3" s="2299"/>
      <c r="AJ3" s="2299"/>
      <c r="AK3" s="2299"/>
      <c r="AL3" s="2299"/>
      <c r="AM3" s="2299"/>
      <c r="AN3" s="2299"/>
      <c r="AO3" s="2299"/>
      <c r="AP3" s="2299"/>
      <c r="AQ3" s="2299"/>
      <c r="AR3" s="2299"/>
      <c r="AS3" s="2299"/>
      <c r="AT3" s="2299"/>
      <c r="AU3" s="2299"/>
      <c r="AV3" s="2299"/>
      <c r="AW3" s="2299"/>
      <c r="AX3" s="2299"/>
      <c r="AY3" s="2299"/>
      <c r="AZ3" s="2299"/>
      <c r="BA3" s="2299"/>
      <c r="BB3" s="2300"/>
      <c r="BC3" s="1314" t="s">
        <v>530</v>
      </c>
      <c r="BE3" s="556"/>
      <c r="BF3" s="556" t="str">
        <f>IF(T3="","",T3)</f>
        <v>Территория действия тарифа</v>
      </c>
      <c r="BG3" s="556"/>
      <c r="BH3" s="556"/>
      <c r="BI3" s="1211">
        <v>0</v>
      </c>
    </row>
    <row customHeight="1" ht="33.75" hidden="1">
      <c r="A4" s="1419"/>
      <c r="B4" s="1419"/>
      <c r="C4" s="1419"/>
      <c r="D4" s="1419"/>
      <c r="E4" s="2315"/>
      <c r="F4" s="2315"/>
      <c r="G4" s="2314">
        <v>1</v>
      </c>
      <c r="H4" s="1419"/>
      <c r="I4" s="1419"/>
      <c r="J4" s="1419"/>
      <c r="K4" s="1419"/>
      <c r="L4" s="1420"/>
      <c r="M4" s="1421"/>
      <c r="N4" s="1421"/>
      <c r="O4" s="1421"/>
      <c r="P4" s="1468"/>
      <c r="Q4" s="1467"/>
      <c r="R4" s="409"/>
      <c r="S4" s="1549">
        <f>INDEX(PT_DIFFERENTIATION_NUM_CS,MATCH(C4,PT_DIFFERENTIATION_CS_ID,0))</f>
      </c>
      <c r="T4" s="365" t="s">
        <v>663</v>
      </c>
      <c r="U4" s="356"/>
      <c r="V4" s="2299"/>
      <c r="W4" s="2299"/>
      <c r="X4" s="2299"/>
      <c r="Y4" s="2299"/>
      <c r="Z4" s="2299"/>
      <c r="AA4" s="2299"/>
      <c r="AB4" s="2299"/>
      <c r="AC4" s="2300"/>
      <c r="AD4" s="2298">
        <f>INDEX(PT_DIFFERENTIATION_CS,MATCH(C4,PT_DIFFERENTIATION_CS_ID,0))</f>
      </c>
      <c r="AE4" s="2299"/>
      <c r="AF4" s="2299"/>
      <c r="AG4" s="2299"/>
      <c r="AH4" s="2299"/>
      <c r="AI4" s="2299"/>
      <c r="AJ4" s="2299"/>
      <c r="AK4" s="2299"/>
      <c r="AL4" s="2299"/>
      <c r="AM4" s="2299"/>
      <c r="AN4" s="2299"/>
      <c r="AO4" s="2299"/>
      <c r="AP4" s="2299"/>
      <c r="AQ4" s="2299"/>
      <c r="AR4" s="2299"/>
      <c r="AS4" s="2299"/>
      <c r="AT4" s="2299"/>
      <c r="AU4" s="2299"/>
      <c r="AV4" s="2299"/>
      <c r="AW4" s="2299"/>
      <c r="AX4" s="2299"/>
      <c r="AY4" s="2299"/>
      <c r="AZ4" s="2299"/>
      <c r="BA4" s="2299"/>
      <c r="BB4" s="2300"/>
      <c r="BC4" s="1314" t="s">
        <v>664</v>
      </c>
      <c r="BE4" s="556"/>
      <c r="BF4" s="556" t="str">
        <f>IF(T4="","",T4)</f>
        <v>Наименование централизованной системы горячего водоснабжения</v>
      </c>
      <c r="BG4" s="556"/>
      <c r="BH4" s="556"/>
      <c r="BI4" s="1211">
        <v>0</v>
      </c>
    </row>
    <row s="2851" customFormat="1" customHeight="1" ht="14.25" hidden="1">
      <c r="A5" s="1399"/>
      <c r="B5" s="1399"/>
      <c r="C5" s="1399"/>
      <c r="D5" s="1399"/>
      <c r="E5" s="2315"/>
      <c r="F5" s="2315"/>
      <c r="G5" s="2315"/>
      <c r="H5" s="2314">
        <v>1</v>
      </c>
      <c r="I5" s="1399"/>
      <c r="J5" s="1399"/>
      <c r="K5" s="1399"/>
      <c r="L5" s="1402"/>
      <c r="M5" s="1371"/>
      <c r="N5" s="1371"/>
      <c r="O5" s="1371"/>
      <c r="P5" s="1553"/>
      <c r="Q5" s="1554"/>
      <c r="R5" s="413"/>
      <c r="S5" s="1098"/>
      <c r="T5" s="1555"/>
      <c r="U5" s="1440"/>
      <c r="V5" s="2353"/>
      <c r="W5" s="2353"/>
      <c r="X5" s="2353"/>
      <c r="Y5" s="2353"/>
      <c r="Z5" s="2353"/>
      <c r="AA5" s="2353"/>
      <c r="AB5" s="2353"/>
      <c r="AC5" s="2354"/>
      <c r="AD5" s="2352"/>
      <c r="AE5" s="2353"/>
      <c r="AF5" s="2353"/>
      <c r="AG5" s="2353"/>
      <c r="AH5" s="2353"/>
      <c r="AI5" s="2353"/>
      <c r="AJ5" s="2353"/>
      <c r="AK5" s="2353"/>
      <c r="AL5" s="2353"/>
      <c r="AM5" s="2353"/>
      <c r="AN5" s="2353"/>
      <c r="AO5" s="2353"/>
      <c r="AP5" s="2353"/>
      <c r="AQ5" s="2353"/>
      <c r="AR5" s="2353"/>
      <c r="AS5" s="2353"/>
      <c r="AT5" s="2353"/>
      <c r="AU5" s="2353"/>
      <c r="AV5" s="2353"/>
      <c r="AW5" s="2353"/>
      <c r="AX5" s="2353"/>
      <c r="AY5" s="2353"/>
      <c r="AZ5" s="2353"/>
      <c r="BA5" s="2353"/>
      <c r="BB5" s="2354"/>
      <c r="BC5" s="1441" t="s">
        <v>534</v>
      </c>
      <c r="BE5" s="556"/>
      <c r="BF5" s="556" t="str">
        <f>IF(T5="","",T5)</f>
        <v/>
      </c>
      <c r="BG5" s="556"/>
      <c r="BH5" s="556"/>
      <c r="BI5" s="567">
        <v>0</v>
      </c>
    </row>
    <row s="2851" customFormat="1" customHeight="1" ht="14.25" hidden="1">
      <c r="A6" s="1399"/>
      <c r="B6" s="1399"/>
      <c r="C6" s="1399"/>
      <c r="D6" s="1399"/>
      <c r="E6" s="2315"/>
      <c r="F6" s="2315"/>
      <c r="G6" s="2315"/>
      <c r="H6" s="2315"/>
      <c r="I6" s="2312" t="str">
        <f>S5&amp;".1"</f>
        <v>.1</v>
      </c>
      <c r="J6" s="1399"/>
      <c r="K6" s="1399"/>
      <c r="L6" s="1402" t="s">
        <v>535</v>
      </c>
      <c r="M6" s="566"/>
      <c r="N6" s="566"/>
      <c r="O6" s="566"/>
      <c r="P6" s="2313">
        <v>1</v>
      </c>
      <c r="Q6" s="1537"/>
      <c r="R6" s="412"/>
      <c r="S6" s="1098"/>
      <c r="T6" s="1439"/>
      <c r="U6" s="1440"/>
      <c r="V6" s="2353"/>
      <c r="W6" s="2353"/>
      <c r="X6" s="2353"/>
      <c r="Y6" s="2353"/>
      <c r="Z6" s="2353"/>
      <c r="AA6" s="2353"/>
      <c r="AB6" s="2353"/>
      <c r="AC6" s="2354"/>
      <c r="AD6" s="2352"/>
      <c r="AE6" s="2353"/>
      <c r="AF6" s="2353"/>
      <c r="AG6" s="2353"/>
      <c r="AH6" s="2353"/>
      <c r="AI6" s="2353"/>
      <c r="AJ6" s="2353"/>
      <c r="AK6" s="2353"/>
      <c r="AL6" s="2353"/>
      <c r="AM6" s="2353"/>
      <c r="AN6" s="2353"/>
      <c r="AO6" s="2353"/>
      <c r="AP6" s="2353"/>
      <c r="AQ6" s="2353"/>
      <c r="AR6" s="2353"/>
      <c r="AS6" s="2353"/>
      <c r="AT6" s="2353"/>
      <c r="AU6" s="2353"/>
      <c r="AV6" s="2353"/>
      <c r="AW6" s="2353"/>
      <c r="AX6" s="2353"/>
      <c r="AY6" s="2353"/>
      <c r="AZ6" s="2353"/>
      <c r="BA6" s="2353"/>
      <c r="BB6" s="2354"/>
      <c r="BC6" s="1441"/>
      <c r="BE6" s="556"/>
      <c r="BF6" s="556" t="str">
        <f>IF(T6="","",T6)</f>
        <v/>
      </c>
      <c r="BG6" s="556"/>
      <c r="BH6" s="556"/>
      <c r="BI6" s="567">
        <v>0</v>
      </c>
    </row>
    <row s="2851" customFormat="1" customHeight="1" ht="14.25" hidden="1">
      <c r="A7" s="1399"/>
      <c r="B7" s="1399"/>
      <c r="C7" s="1399"/>
      <c r="D7" s="1399"/>
      <c r="E7" s="2315"/>
      <c r="F7" s="2315"/>
      <c r="G7" s="2315"/>
      <c r="H7" s="2315"/>
      <c r="I7" s="2342"/>
      <c r="J7" s="2312" t="str">
        <f>S5&amp;".1"</f>
        <v>.1</v>
      </c>
      <c r="K7" s="1399"/>
      <c r="L7" s="1402"/>
      <c r="M7" s="566"/>
      <c r="N7" s="566"/>
      <c r="O7" s="566"/>
      <c r="P7" s="2313"/>
      <c r="Q7" s="2313">
        <v>1</v>
      </c>
      <c r="R7" s="413"/>
      <c r="S7" s="1098"/>
      <c r="T7" s="1455"/>
      <c r="U7" s="1440"/>
      <c r="V7" s="2353"/>
      <c r="W7" s="2353"/>
      <c r="X7" s="2353"/>
      <c r="Y7" s="2353"/>
      <c r="Z7" s="2353"/>
      <c r="AA7" s="2353"/>
      <c r="AB7" s="2353"/>
      <c r="AC7" s="2354"/>
      <c r="AD7" s="2352"/>
      <c r="AE7" s="2353"/>
      <c r="AF7" s="2353"/>
      <c r="AG7" s="2353"/>
      <c r="AH7" s="2353"/>
      <c r="AI7" s="2353"/>
      <c r="AJ7" s="2353"/>
      <c r="AK7" s="2353"/>
      <c r="AL7" s="2353"/>
      <c r="AM7" s="2353"/>
      <c r="AN7" s="2353"/>
      <c r="AO7" s="2353"/>
      <c r="AP7" s="2353"/>
      <c r="AQ7" s="2353"/>
      <c r="AR7" s="2353"/>
      <c r="AS7" s="2353"/>
      <c r="AT7" s="2353"/>
      <c r="AU7" s="2353"/>
      <c r="AV7" s="2353"/>
      <c r="AW7" s="2353"/>
      <c r="AX7" s="2353"/>
      <c r="AY7" s="2353"/>
      <c r="AZ7" s="2353"/>
      <c r="BA7" s="2353"/>
      <c r="BB7" s="2354"/>
      <c r="BC7" s="1441"/>
      <c r="BE7" s="556"/>
      <c r="BF7" s="556" t="str">
        <f>IF(T7="","",T7)</f>
        <v/>
      </c>
      <c r="BG7" s="556"/>
      <c r="BH7" s="556"/>
      <c r="BI7" s="567">
        <v>0</v>
      </c>
    </row>
    <row customHeight="1" ht="11.25" hidden="1">
      <c r="A8" s="1419"/>
      <c r="B8" s="1419"/>
      <c r="C8" s="1419"/>
      <c r="D8" s="1419"/>
      <c r="E8" s="2315"/>
      <c r="F8" s="2315"/>
      <c r="G8" s="2315"/>
      <c r="H8" s="2315"/>
      <c r="I8" s="2342"/>
      <c r="J8" s="2342"/>
      <c r="K8" s="2312">
        <f>S4&amp;".1"</f>
      </c>
      <c r="L8" s="1420"/>
      <c r="P8" s="2313"/>
      <c r="Q8" s="2313"/>
      <c r="R8" s="2403">
        <v>1</v>
      </c>
      <c r="S8" s="2397">
        <f>$K8</f>
      </c>
      <c r="T8" s="2416"/>
      <c r="U8" s="356"/>
      <c r="V8" s="807"/>
      <c r="W8" s="1313"/>
      <c r="X8" s="807"/>
      <c r="Y8" s="1313"/>
      <c r="Z8" s="1790"/>
      <c r="AA8" s="1525" t="s">
        <v>65</v>
      </c>
      <c r="AB8" s="1790"/>
      <c r="AC8" s="1525" t="s">
        <v>65</v>
      </c>
      <c r="AD8" s="2241" t="s">
        <v>65</v>
      </c>
      <c r="AE8" s="2382"/>
      <c r="AF8" s="2261">
        <v>1</v>
      </c>
      <c r="AG8" s="2419"/>
      <c r="AH8" s="2163" t="s">
        <v>65</v>
      </c>
      <c r="AI8" s="2382"/>
      <c r="AJ8" s="2261">
        <v>1</v>
      </c>
      <c r="AK8" s="2383" t="s">
        <v>28</v>
      </c>
      <c r="AL8" s="2163" t="s">
        <v>65</v>
      </c>
      <c r="AM8" s="2248"/>
      <c r="AN8" s="2261">
        <v>1</v>
      </c>
      <c r="AO8" s="2413"/>
      <c r="AP8" s="2414" t="s">
        <v>65</v>
      </c>
      <c r="AQ8" s="367"/>
      <c r="AR8" s="1542">
        <v>1</v>
      </c>
      <c r="AS8" s="1548" t="s">
        <v>28</v>
      </c>
      <c r="AT8" s="807"/>
      <c r="AU8" s="1313"/>
      <c r="AV8" s="807"/>
      <c r="AW8" s="1313"/>
      <c r="AX8" s="1790"/>
      <c r="AY8" s="1525" t="s">
        <v>65</v>
      </c>
      <c r="AZ8" s="1790"/>
      <c r="BA8" s="1525" t="s">
        <v>65</v>
      </c>
      <c r="BB8" s="1404"/>
      <c r="BC8" s="2309" t="s">
        <v>634</v>
      </c>
      <c r="BE8" s="556"/>
      <c r="BF8" s="556" t="str">
        <f>IF(T8="","",T8)</f>
        <v/>
      </c>
      <c r="BG8" s="556"/>
      <c r="BH8" s="556"/>
      <c r="BI8" s="1211">
        <v>0</v>
      </c>
    </row>
    <row customHeight="1" ht="11.25" hidden="1">
      <c r="A9" s="1419"/>
      <c r="B9" s="1419"/>
      <c r="C9" s="1419"/>
      <c r="D9" s="1419"/>
      <c r="E9" s="2315"/>
      <c r="F9" s="2315"/>
      <c r="G9" s="2315"/>
      <c r="H9" s="2315"/>
      <c r="I9" s="2342"/>
      <c r="J9" s="2342"/>
      <c r="K9" s="2312"/>
      <c r="L9" s="1420"/>
      <c r="P9" s="2313"/>
      <c r="Q9" s="2313"/>
      <c r="R9" s="2403"/>
      <c r="S9" s="2398"/>
      <c r="T9" s="2417"/>
      <c r="U9" s="356"/>
      <c r="V9" s="1449"/>
      <c r="W9" s="1552"/>
      <c r="X9" s="1449"/>
      <c r="Y9" s="1552"/>
      <c r="Z9" s="1449"/>
      <c r="AA9" s="1449"/>
      <c r="AB9" s="1449"/>
      <c r="AC9" s="1449"/>
      <c r="AD9" s="2242"/>
      <c r="AE9" s="2382"/>
      <c r="AF9" s="2261"/>
      <c r="AG9" s="2419"/>
      <c r="AH9" s="2163"/>
      <c r="AI9" s="2382"/>
      <c r="AJ9" s="2261"/>
      <c r="AK9" s="2383"/>
      <c r="AL9" s="2163"/>
      <c r="AM9" s="2256"/>
      <c r="AN9" s="2261"/>
      <c r="AO9" s="2413"/>
      <c r="AP9" s="2415"/>
      <c r="AQ9" s="372"/>
      <c r="AR9" s="472"/>
      <c r="AS9" s="472" t="s">
        <v>635</v>
      </c>
      <c r="AT9" s="1449"/>
      <c r="AU9" s="1552"/>
      <c r="AV9" s="1449"/>
      <c r="AW9" s="1552"/>
      <c r="AX9" s="1449"/>
      <c r="AY9" s="1449"/>
      <c r="AZ9" s="1449"/>
      <c r="BA9" s="1449"/>
      <c r="BB9" s="1453"/>
      <c r="BC9" s="2310"/>
      <c r="BE9" s="556"/>
      <c r="BF9" s="556"/>
      <c r="BG9" s="556"/>
      <c r="BH9" s="556"/>
      <c r="BI9" s="1211">
        <v>0</v>
      </c>
    </row>
    <row customHeight="1" ht="11.25" hidden="1">
      <c r="A10" s="1419"/>
      <c r="B10" s="1419"/>
      <c r="C10" s="1419"/>
      <c r="D10" s="1419"/>
      <c r="E10" s="2315"/>
      <c r="F10" s="2315"/>
      <c r="G10" s="2315"/>
      <c r="H10" s="2315"/>
      <c r="I10" s="2342"/>
      <c r="J10" s="2342"/>
      <c r="K10" s="2312"/>
      <c r="L10" s="1420"/>
      <c r="P10" s="2313"/>
      <c r="Q10" s="2313"/>
      <c r="R10" s="2403"/>
      <c r="S10" s="2398"/>
      <c r="T10" s="2417"/>
      <c r="U10" s="356"/>
      <c r="V10" s="1449"/>
      <c r="W10" s="1552"/>
      <c r="X10" s="1449"/>
      <c r="Y10" s="1552"/>
      <c r="Z10" s="1449"/>
      <c r="AA10" s="1449"/>
      <c r="AB10" s="1449"/>
      <c r="AC10" s="1449"/>
      <c r="AD10" s="2242"/>
      <c r="AE10" s="2382"/>
      <c r="AF10" s="2261"/>
      <c r="AG10" s="2419"/>
      <c r="AH10" s="2163"/>
      <c r="AI10" s="2382"/>
      <c r="AJ10" s="2261"/>
      <c r="AK10" s="2383"/>
      <c r="AL10" s="2163"/>
      <c r="AM10" s="372"/>
      <c r="AN10" s="1556"/>
      <c r="AO10" s="1556" t="s">
        <v>636</v>
      </c>
      <c r="AP10" s="472"/>
      <c r="AQ10" s="472"/>
      <c r="AR10" s="472"/>
      <c r="AS10" s="1449"/>
      <c r="AT10" s="1449"/>
      <c r="AU10" s="1552"/>
      <c r="AV10" s="1449"/>
      <c r="AW10" s="1552"/>
      <c r="AX10" s="1449"/>
      <c r="AY10" s="1449"/>
      <c r="AZ10" s="1449"/>
      <c r="BA10" s="1449"/>
      <c r="BB10" s="1453"/>
      <c r="BC10" s="2310"/>
      <c r="BE10" s="556"/>
      <c r="BF10" s="556"/>
      <c r="BG10" s="556"/>
      <c r="BH10" s="556"/>
      <c r="BI10" s="1211">
        <v>0</v>
      </c>
    </row>
    <row customHeight="1" ht="11.25" hidden="1">
      <c r="A11" s="1419"/>
      <c r="B11" s="1419"/>
      <c r="C11" s="1419"/>
      <c r="D11" s="1419"/>
      <c r="E11" s="2315"/>
      <c r="F11" s="2315"/>
      <c r="G11" s="2315"/>
      <c r="H11" s="2315"/>
      <c r="I11" s="2342"/>
      <c r="J11" s="2342"/>
      <c r="K11" s="2312"/>
      <c r="L11" s="1420"/>
      <c r="P11" s="2313"/>
      <c r="Q11" s="2313"/>
      <c r="R11" s="2403"/>
      <c r="S11" s="2398"/>
      <c r="T11" s="2417"/>
      <c r="U11" s="356"/>
      <c r="V11" s="1449"/>
      <c r="W11" s="1552"/>
      <c r="X11" s="1449"/>
      <c r="Y11" s="1552"/>
      <c r="Z11" s="1449"/>
      <c r="AA11" s="1449"/>
      <c r="AB11" s="1449"/>
      <c r="AC11" s="1449"/>
      <c r="AD11" s="2242"/>
      <c r="AE11" s="2382"/>
      <c r="AF11" s="2261"/>
      <c r="AG11" s="2419"/>
      <c r="AH11" s="2163"/>
      <c r="AI11" s="350"/>
      <c r="AJ11" s="471"/>
      <c r="AK11" s="369" t="s">
        <v>637</v>
      </c>
      <c r="AL11" s="1449"/>
      <c r="AM11" s="1449"/>
      <c r="AN11" s="1449"/>
      <c r="AO11" s="1449"/>
      <c r="AP11" s="1449"/>
      <c r="AQ11" s="1449"/>
      <c r="AR11" s="1449"/>
      <c r="AS11" s="1449"/>
      <c r="AT11" s="1449"/>
      <c r="AU11" s="1552"/>
      <c r="AV11" s="1449"/>
      <c r="AW11" s="1552"/>
      <c r="AX11" s="1449"/>
      <c r="AY11" s="1449"/>
      <c r="AZ11" s="1449"/>
      <c r="BA11" s="1449"/>
      <c r="BB11" s="1453"/>
      <c r="BC11" s="2310"/>
      <c r="BE11" s="556"/>
      <c r="BF11" s="556"/>
      <c r="BG11" s="556"/>
      <c r="BH11" s="556"/>
      <c r="BI11" s="1211">
        <v>0</v>
      </c>
    </row>
    <row customHeight="1" ht="11.25" hidden="1">
      <c r="A12" s="1419"/>
      <c r="B12" s="1419"/>
      <c r="C12" s="1419"/>
      <c r="D12" s="1419"/>
      <c r="E12" s="2315"/>
      <c r="F12" s="2315"/>
      <c r="G12" s="2315"/>
      <c r="H12" s="2315"/>
      <c r="I12" s="2342"/>
      <c r="J12" s="2342"/>
      <c r="K12" s="2312"/>
      <c r="L12" s="1420"/>
      <c r="P12" s="2313"/>
      <c r="Q12" s="2313"/>
      <c r="R12" s="2403"/>
      <c r="S12" s="2399"/>
      <c r="T12" s="2418"/>
      <c r="U12" s="356"/>
      <c r="V12" s="1449"/>
      <c r="W12" s="1450" t="str">
        <f>Z8&amp;"-"&amp;AB8</f>
        <v>-</v>
      </c>
      <c r="X12" s="1449"/>
      <c r="Y12" s="1450" t="str">
        <f>AB8&amp;"-"&amp;AD8</f>
        <v>-да</v>
      </c>
      <c r="Z12" s="1449"/>
      <c r="AA12" s="1449"/>
      <c r="AB12" s="1449"/>
      <c r="AC12" s="1449"/>
      <c r="AD12" s="2168"/>
      <c r="AE12" s="368"/>
      <c r="AF12" s="370"/>
      <c r="AG12" s="472" t="s">
        <v>638</v>
      </c>
      <c r="AH12" s="1449"/>
      <c r="AI12" s="1449"/>
      <c r="AJ12" s="1449"/>
      <c r="AK12" s="1449"/>
      <c r="AL12" s="1449"/>
      <c r="AM12" s="1449"/>
      <c r="AN12" s="1449"/>
      <c r="AO12" s="1449"/>
      <c r="AP12" s="1449"/>
      <c r="AQ12" s="1449"/>
      <c r="AR12" s="1449"/>
      <c r="AS12" s="1449"/>
      <c r="AT12" s="1449"/>
      <c r="AU12" s="1450" t="str">
        <f>AX8&amp;"-"&amp;AZ8</f>
        <v>-</v>
      </c>
      <c r="AV12" s="1449"/>
      <c r="AW12" s="1450" t="str">
        <f>AZ8&amp;"-"&amp;BB8</f>
        <v>-</v>
      </c>
      <c r="AX12" s="1449"/>
      <c r="AY12" s="1449"/>
      <c r="AZ12" s="1449"/>
      <c r="BA12" s="1449"/>
      <c r="BB12" s="1452" t="str">
        <f>BE8&amp;"-"&amp;BG8</f>
        <v>-</v>
      </c>
      <c r="BC12" s="2310"/>
      <c r="BE12" s="556"/>
      <c r="BF12" s="556" t="str">
        <f>IF(T12="","",T12)</f>
        <v/>
      </c>
      <c r="BG12" s="556"/>
      <c r="BH12" s="556"/>
      <c r="BI12" s="1211">
        <v>0</v>
      </c>
    </row>
    <row customHeight="1" ht="11.25" hidden="1">
      <c r="A13" s="1419"/>
      <c r="B13" s="1419"/>
      <c r="C13" s="1419"/>
      <c r="D13" s="1419"/>
      <c r="E13" s="2315"/>
      <c r="F13" s="2315"/>
      <c r="G13" s="2315"/>
      <c r="H13" s="2315"/>
      <c r="I13" s="2342"/>
      <c r="J13" s="2312"/>
      <c r="K13" s="1419"/>
      <c r="L13" s="1420"/>
      <c r="P13" s="2313"/>
      <c r="Q13" s="2313"/>
      <c r="R13" s="412"/>
      <c r="S13" s="1334"/>
      <c r="T13" s="343" t="s">
        <v>597</v>
      </c>
      <c r="U13" s="423"/>
      <c r="V13" s="423"/>
      <c r="W13" s="423"/>
      <c r="X13" s="423"/>
      <c r="Y13" s="423"/>
      <c r="Z13" s="423"/>
      <c r="AA13" s="423"/>
      <c r="AB13" s="423"/>
      <c r="AC13" s="423"/>
      <c r="AD13" s="1561"/>
      <c r="AE13" s="423"/>
      <c r="AF13" s="423"/>
      <c r="AG13" s="423"/>
      <c r="AH13" s="423"/>
      <c r="AI13" s="423"/>
      <c r="AJ13" s="423"/>
      <c r="AK13" s="423"/>
      <c r="AL13" s="423"/>
      <c r="AM13" s="423"/>
      <c r="AN13" s="423"/>
      <c r="AO13" s="423"/>
      <c r="AP13" s="423"/>
      <c r="AQ13" s="423"/>
      <c r="AR13" s="423"/>
      <c r="AS13" s="423"/>
      <c r="AT13" s="423"/>
      <c r="AU13" s="423"/>
      <c r="AV13" s="423"/>
      <c r="AW13" s="423"/>
      <c r="AX13" s="423"/>
      <c r="AY13" s="423"/>
      <c r="AZ13" s="423"/>
      <c r="BA13" s="423"/>
      <c r="BB13" s="380"/>
      <c r="BC13" s="2311"/>
      <c r="BE13" s="556"/>
      <c r="BF13" s="556" t="str">
        <f>IF(T13="","",T13)</f>
        <v>Добавить строку</v>
      </c>
      <c r="BG13" s="556"/>
      <c r="BH13" s="556"/>
      <c r="BI13" s="1211">
        <v>0</v>
      </c>
    </row>
    <row s="2851" customFormat="1" customHeight="1" ht="14.25" hidden="1">
      <c r="A14" s="1399"/>
      <c r="B14" s="1399"/>
      <c r="C14" s="1399"/>
      <c r="D14" s="1399"/>
      <c r="E14" s="2315"/>
      <c r="F14" s="2315"/>
      <c r="G14" s="2315"/>
      <c r="H14" s="2315"/>
      <c r="I14" s="2312"/>
      <c r="J14" s="1399"/>
      <c r="K14" s="1399"/>
      <c r="L14" s="1402"/>
      <c r="M14" s="566"/>
      <c r="N14" s="566"/>
      <c r="O14" s="566"/>
      <c r="P14" s="2313"/>
      <c r="Q14" s="1537"/>
      <c r="R14" s="412"/>
      <c r="S14" s="1442"/>
      <c r="T14" s="1443"/>
      <c r="U14" s="1444"/>
      <c r="V14" s="1444"/>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4"/>
      <c r="AR14" s="1444"/>
      <c r="AS14" s="1444"/>
      <c r="AT14" s="1444"/>
      <c r="AU14" s="1444"/>
      <c r="AV14" s="1444"/>
      <c r="AW14" s="1444"/>
      <c r="AX14" s="1444"/>
      <c r="AY14" s="1444"/>
      <c r="AZ14" s="1444"/>
      <c r="BA14" s="1444"/>
      <c r="BB14" s="1444"/>
      <c r="BC14" s="1445"/>
      <c r="BE14" s="556"/>
      <c r="BF14" s="556" t="str">
        <f>IF(T14="","",T14)</f>
        <v/>
      </c>
      <c r="BG14" s="556"/>
      <c r="BH14" s="556"/>
      <c r="BI14" s="567">
        <v>0</v>
      </c>
    </row>
    <row s="2851" customFormat="1" customHeight="1" ht="14.25" hidden="1">
      <c r="A15" s="1399"/>
      <c r="B15" s="1399"/>
      <c r="C15" s="1399"/>
      <c r="D15" s="1399"/>
      <c r="E15" s="2315"/>
      <c r="F15" s="2315"/>
      <c r="G15" s="2315"/>
      <c r="H15" s="2314"/>
      <c r="I15" s="1399"/>
      <c r="J15" s="1399"/>
      <c r="K15" s="1399"/>
      <c r="L15" s="1402"/>
      <c r="M15" s="1371"/>
      <c r="N15" s="1371"/>
      <c r="O15" s="574"/>
      <c r="P15" s="436"/>
      <c r="Q15" s="1400"/>
      <c r="R15" s="1457"/>
      <c r="S15" s="1442"/>
      <c r="T15" s="1443"/>
      <c r="U15" s="1444"/>
      <c r="V15" s="1444"/>
      <c r="W15" s="1444"/>
      <c r="X15" s="1444"/>
      <c r="Y15" s="1444"/>
      <c r="Z15" s="1444"/>
      <c r="AA15" s="1444"/>
      <c r="AB15" s="1444"/>
      <c r="AC15" s="1444"/>
      <c r="AD15" s="1444"/>
      <c r="AE15" s="1444"/>
      <c r="AF15" s="1444"/>
      <c r="AG15" s="1444"/>
      <c r="AH15" s="1444"/>
      <c r="AI15" s="1444"/>
      <c r="AJ15" s="1444"/>
      <c r="AK15" s="1444"/>
      <c r="AL15" s="1444"/>
      <c r="AM15" s="1444"/>
      <c r="AN15" s="1444"/>
      <c r="AO15" s="1444"/>
      <c r="AP15" s="1444"/>
      <c r="AQ15" s="1444"/>
      <c r="AR15" s="1444"/>
      <c r="AS15" s="1444"/>
      <c r="AT15" s="1444"/>
      <c r="AU15" s="1444"/>
      <c r="AV15" s="1444"/>
      <c r="AW15" s="1444"/>
      <c r="AX15" s="1444"/>
      <c r="AY15" s="1444"/>
      <c r="AZ15" s="1444"/>
      <c r="BA15" s="1444"/>
      <c r="BB15" s="1444"/>
      <c r="BC15" s="1445"/>
      <c r="BE15" s="556"/>
      <c r="BF15" s="556" t="str">
        <f>IF(T15="","",T15)</f>
        <v/>
      </c>
      <c r="BG15" s="556"/>
      <c r="BH15" s="556"/>
      <c r="BI15" s="567">
        <v>0</v>
      </c>
    </row>
    <row s="2851" customFormat="1" customHeight="1" ht="14.25" hidden="1">
      <c r="A16" s="1399"/>
      <c r="B16" s="1399"/>
      <c r="C16" s="1399"/>
      <c r="D16" s="1370"/>
      <c r="E16" s="2315"/>
      <c r="F16" s="2315"/>
      <c r="G16" s="2314"/>
      <c r="H16" s="1370"/>
      <c r="I16" s="1370"/>
      <c r="J16" s="1370"/>
      <c r="K16" s="1370"/>
      <c r="L16" s="1550"/>
      <c r="M16" s="1371"/>
      <c r="N16" s="1371"/>
      <c r="P16" s="1372"/>
      <c r="Q16" s="1373"/>
      <c r="R16" s="1372"/>
      <c r="S16" s="1378"/>
      <c r="T16" s="1381"/>
      <c r="U16" s="1380"/>
      <c r="V16" s="1380"/>
      <c r="W16" s="1380"/>
      <c r="X16" s="1380"/>
      <c r="Y16" s="1380"/>
      <c r="Z16" s="1380"/>
      <c r="AA16" s="1380"/>
      <c r="AB16" s="1380"/>
      <c r="AC16" s="1380"/>
      <c r="AD16" s="1380"/>
      <c r="AE16" s="1380"/>
      <c r="AF16" s="1380"/>
      <c r="AG16" s="1380"/>
      <c r="AH16" s="1380"/>
      <c r="AI16" s="1380"/>
      <c r="AJ16" s="1380"/>
      <c r="AK16" s="1380"/>
      <c r="AL16" s="1380"/>
      <c r="AM16" s="1380"/>
      <c r="AN16" s="1380"/>
      <c r="AO16" s="1380"/>
      <c r="AP16" s="1380"/>
      <c r="AQ16" s="1380"/>
      <c r="AR16" s="1380"/>
      <c r="AS16" s="1380"/>
      <c r="AT16" s="1380"/>
      <c r="AU16" s="1380"/>
      <c r="AV16" s="1380"/>
      <c r="AW16" s="1380"/>
      <c r="AX16" s="1380"/>
      <c r="AY16" s="1380"/>
      <c r="AZ16" s="1380"/>
      <c r="BA16" s="1380"/>
      <c r="BB16" s="1380"/>
      <c r="BC16" s="1380"/>
      <c r="BE16" s="845"/>
      <c r="BF16" s="845" t="str">
        <f>IF(T16="","",T16)</f>
        <v/>
      </c>
      <c r="BG16" s="845"/>
      <c r="BH16" s="845"/>
      <c r="BI16" s="574">
        <v>0</v>
      </c>
    </row>
    <row s="2851" customFormat="1" customHeight="1" ht="14.25" hidden="1">
      <c r="A17" s="1399"/>
      <c r="B17" s="1399"/>
      <c r="C17" s="1370"/>
      <c r="D17" s="1370"/>
      <c r="E17" s="2315"/>
      <c r="F17" s="2314"/>
      <c r="G17" s="1370"/>
      <c r="H17" s="1370"/>
      <c r="I17" s="1370"/>
      <c r="J17" s="1370"/>
      <c r="K17" s="1370"/>
      <c r="L17" s="1550"/>
      <c r="M17" s="1377"/>
      <c r="N17" s="1377"/>
      <c r="P17" s="1372"/>
      <c r="Q17" s="1373"/>
      <c r="R17" s="1372"/>
      <c r="S17" s="1378"/>
      <c r="T17" s="1381" t="s">
        <v>302</v>
      </c>
      <c r="U17" s="1380"/>
      <c r="V17" s="1380"/>
      <c r="W17" s="1380"/>
      <c r="X17" s="1380"/>
      <c r="Y17" s="1380"/>
      <c r="Z17" s="1380"/>
      <c r="AA17" s="1380"/>
      <c r="AB17" s="1380"/>
      <c r="AC17" s="1380"/>
      <c r="AD17" s="1380"/>
      <c r="AE17" s="1380"/>
      <c r="AF17" s="1380"/>
      <c r="AG17" s="1380"/>
      <c r="AH17" s="1380"/>
      <c r="AI17" s="1380"/>
      <c r="AJ17" s="1380"/>
      <c r="AK17" s="1380"/>
      <c r="AL17" s="1380"/>
      <c r="AM17" s="1380"/>
      <c r="AN17" s="1380"/>
      <c r="AO17" s="1380"/>
      <c r="AP17" s="1380"/>
      <c r="AQ17" s="1380"/>
      <c r="AR17" s="1380"/>
      <c r="AS17" s="1380"/>
      <c r="AT17" s="1380"/>
      <c r="AU17" s="1380"/>
      <c r="AV17" s="1380"/>
      <c r="AW17" s="1380"/>
      <c r="AX17" s="1380"/>
      <c r="AY17" s="1380"/>
      <c r="AZ17" s="1380"/>
      <c r="BA17" s="1380"/>
      <c r="BB17" s="1380"/>
      <c r="BC17" s="1380"/>
      <c r="BE17" s="845"/>
      <c r="BF17" s="845" t="str">
        <f>IF(T17="","",T17)</f>
        <v>Добавить централизованную систему для дифференциации</v>
      </c>
      <c r="BG17" s="845"/>
      <c r="BH17" s="845"/>
      <c r="BI17" s="574">
        <v>0</v>
      </c>
    </row>
    <row s="2851" customFormat="1" customHeight="1" ht="14.25" hidden="1">
      <c r="A18" s="1399"/>
      <c r="B18" s="1399"/>
      <c r="C18" s="1399"/>
      <c r="D18" s="1399"/>
      <c r="E18" s="2314"/>
      <c r="F18" s="1399"/>
      <c r="G18" s="1399"/>
      <c r="H18" s="1399"/>
      <c r="I18" s="1399"/>
      <c r="J18" s="1399"/>
      <c r="K18" s="1399"/>
      <c r="L18" s="1402"/>
      <c r="M18" s="1377"/>
      <c r="N18" s="1377"/>
      <c r="O18" s="574"/>
      <c r="P18" s="436"/>
      <c r="Q18" s="1400"/>
      <c r="R18" s="436"/>
      <c r="S18" s="1378"/>
      <c r="T18" s="1381" t="s">
        <v>359</v>
      </c>
      <c r="U18" s="1380"/>
      <c r="V18" s="1380"/>
      <c r="W18" s="1380"/>
      <c r="X18" s="1380"/>
      <c r="Y18" s="1380"/>
      <c r="Z18" s="1380"/>
      <c r="AA18" s="1380"/>
      <c r="AB18" s="1380"/>
      <c r="AC18" s="1380"/>
      <c r="AD18" s="1380"/>
      <c r="AE18" s="1380"/>
      <c r="AF18" s="1380"/>
      <c r="AG18" s="1380"/>
      <c r="AH18" s="1380"/>
      <c r="AI18" s="1380"/>
      <c r="AJ18" s="1380"/>
      <c r="AK18" s="1380"/>
      <c r="AL18" s="1380"/>
      <c r="AM18" s="1380"/>
      <c r="AN18" s="1380"/>
      <c r="AO18" s="1380"/>
      <c r="AP18" s="1380"/>
      <c r="AQ18" s="1380"/>
      <c r="AR18" s="1380"/>
      <c r="AS18" s="1380"/>
      <c r="AT18" s="1380"/>
      <c r="AU18" s="1380"/>
      <c r="AV18" s="1380"/>
      <c r="AW18" s="1380"/>
      <c r="AX18" s="1380"/>
      <c r="AY18" s="1380"/>
      <c r="AZ18" s="1380"/>
      <c r="BA18" s="1380"/>
      <c r="BB18" s="1380"/>
      <c r="BC18" s="1380"/>
      <c r="BE18" s="556"/>
      <c r="BF18" s="556" t="str">
        <f>IF(T18="","",T18)</f>
        <v>Добавить территорию для дифференциации</v>
      </c>
      <c r="BG18" s="556"/>
      <c r="BH18" s="556"/>
      <c r="BI18" s="567">
        <v>0</v>
      </c>
    </row>
    <row customHeight="1" ht="14.25" hidden="1">
      <c r="AC19" s="383"/>
      <c r="BA19" s="383"/>
      <c r="BI19" s="1211">
        <v>0</v>
      </c>
    </row>
    <row customHeight="1" ht="14.25" hidden="1">
      <c r="AD20" s="1380" t="s">
        <v>19</v>
      </c>
      <c r="AE20" s="1557"/>
      <c r="AF20" s="604">
        <v>1</v>
      </c>
      <c r="AG20" s="1558"/>
      <c r="AH20" s="1380" t="s">
        <v>19</v>
      </c>
      <c r="AI20" s="1557"/>
      <c r="AJ20" s="604">
        <v>1</v>
      </c>
      <c r="AK20" s="1558"/>
      <c r="AL20" s="1380" t="s">
        <v>19</v>
      </c>
      <c r="AM20" s="1559"/>
      <c r="AN20" s="604">
        <v>1</v>
      </c>
      <c r="AO20" s="1560"/>
      <c r="AP20" s="1380" t="s">
        <v>19</v>
      </c>
      <c r="AQ20" s="1559"/>
      <c r="AR20" s="604">
        <v>1</v>
      </c>
      <c r="AS20" s="1560"/>
      <c r="AT20" s="381"/>
      <c r="AU20" s="440"/>
      <c r="AV20" s="381"/>
      <c r="AW20" s="440"/>
      <c r="AX20" s="1792"/>
      <c r="AY20" s="1541" t="s">
        <v>65</v>
      </c>
      <c r="AZ20" s="1792"/>
      <c r="BA20" s="1541" t="s">
        <v>65</v>
      </c>
      <c r="BI20" s="1211">
        <v>0</v>
      </c>
    </row>
    <row customHeight="1" ht="14.25" hidden="1">
      <c r="BD21" s="552"/>
      <c r="BE21" s="552"/>
      <c r="BF21" s="552"/>
      <c r="BG21" s="552"/>
      <c r="BH21" s="552"/>
      <c r="BI21" s="1211">
        <v>0</v>
      </c>
    </row>
    <row customHeight="1" ht="14.25" hidden="1">
      <c r="O22" s="1423" t="s">
        <v>547</v>
      </c>
      <c r="Z22" s="1401"/>
      <c r="AB22" s="1401"/>
      <c r="AC22" s="383"/>
      <c r="AX22" s="1401"/>
      <c r="AZ22" s="1401"/>
      <c r="BA22" s="383"/>
      <c r="BD22" s="552"/>
      <c r="BE22" s="552"/>
      <c r="BF22" s="552"/>
      <c r="BG22" s="552"/>
      <c r="BH22" s="552"/>
      <c r="BI22" s="1211">
        <v>0</v>
      </c>
    </row>
    <row customHeight="1" ht="14.25" hidden="1">
      <c r="AC23" s="383"/>
      <c r="BA23" s="383"/>
      <c r="BD23" s="552"/>
      <c r="BE23" s="552"/>
      <c r="BF23" s="552"/>
      <c r="BG23" s="552"/>
      <c r="BH23" s="552"/>
      <c r="BI23" s="1211">
        <v>0</v>
      </c>
    </row>
    <row s="3830" customFormat="1" customHeight="1" ht="14.25" hidden="1">
      <c r="M24" s="1564"/>
      <c r="N24" s="1564"/>
      <c r="O24" s="1565" t="s">
        <v>548</v>
      </c>
      <c r="P24" s="1564"/>
      <c r="Q24" s="1566"/>
      <c r="R24" s="1566"/>
      <c r="AA24" s="1563" t="s">
        <v>550</v>
      </c>
      <c r="AC24" s="1563" t="s">
        <v>551</v>
      </c>
      <c r="AD24" s="1563" t="s">
        <v>598</v>
      </c>
      <c r="AH24" s="1563" t="s">
        <v>598</v>
      </c>
      <c r="AK24" s="1563" t="s">
        <v>639</v>
      </c>
      <c r="AL24" s="1563" t="s">
        <v>598</v>
      </c>
      <c r="AP24" s="1563" t="s">
        <v>598</v>
      </c>
      <c r="AY24" s="1563" t="s">
        <v>550</v>
      </c>
      <c r="BA24" s="1563" t="s">
        <v>551</v>
      </c>
      <c r="BD24" s="1567"/>
      <c r="BE24" s="1567"/>
      <c r="BF24" s="1567"/>
      <c r="BG24" s="1567"/>
      <c r="BH24" s="1567"/>
      <c r="BI24" s="1563">
        <v>0</v>
      </c>
    </row>
    <row customHeight="1" ht="14.25" hidden="1">
      <c r="O25" s="1420"/>
      <c r="BD25" s="552"/>
      <c r="BE25" s="552"/>
      <c r="BF25" s="552"/>
      <c r="BG25" s="552"/>
      <c r="BH25" s="552"/>
      <c r="BI25" s="1211">
        <v>0</v>
      </c>
    </row>
    <row customHeight="1" ht="14.25" hidden="1">
      <c r="O26" s="1420"/>
      <c r="BD26" s="552"/>
      <c r="BE26" s="552"/>
      <c r="BF26" s="552"/>
      <c r="BG26" s="552"/>
      <c r="BH26" s="552"/>
      <c r="BI26" s="1211">
        <v>0</v>
      </c>
    </row>
    <row customHeight="1" ht="14.699999999999998">
      <c r="Q27" s="347"/>
      <c r="R27" s="432"/>
      <c r="S27" s="1331"/>
      <c r="T27" s="419"/>
      <c r="U27" s="419"/>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I27" s="1211">
        <v>14</v>
      </c>
    </row>
    <row customHeight="1" ht="14.699999999999998">
      <c r="Q28" s="347"/>
      <c r="R28" s="432"/>
      <c r="S28" s="230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04"/>
      <c r="U28" s="2304"/>
      <c r="V28" s="2304"/>
      <c r="W28" s="2304"/>
      <c r="X28" s="2304"/>
      <c r="Y28" s="2304"/>
      <c r="Z28" s="2304"/>
      <c r="AA28" s="2304"/>
      <c r="AB28" s="2304"/>
      <c r="AC28" s="2304"/>
      <c r="AD28" s="2304"/>
      <c r="AE28" s="2304"/>
      <c r="AF28" s="2304"/>
      <c r="AG28" s="2304"/>
      <c r="AH28" s="2304"/>
      <c r="AI28" s="2304"/>
      <c r="AJ28" s="2304"/>
      <c r="AK28" s="2304"/>
      <c r="AL28" s="2304"/>
      <c r="AM28" s="2304"/>
      <c r="AN28" s="2304"/>
      <c r="AO28" s="2304"/>
      <c r="AP28" s="2304"/>
      <c r="AQ28" s="2304"/>
      <c r="AR28" s="2304"/>
      <c r="AS28" s="2304"/>
      <c r="AT28" s="2304"/>
      <c r="AU28" s="2304"/>
      <c r="AV28" s="2304"/>
      <c r="AW28" s="2304"/>
      <c r="AX28" s="2304"/>
      <c r="AY28" s="2304"/>
      <c r="AZ28" s="2304"/>
      <c r="BA28" s="1299"/>
      <c r="BI28" s="1211">
        <v>14</v>
      </c>
    </row>
    <row customHeight="1" ht="14.699999999999998">
      <c r="Q29" s="347"/>
      <c r="R29" s="432"/>
      <c r="S29" s="2305" t="str">
        <f>IF(org=0,"Не определено",org)</f>
        <v>МУП ЖКХ "Родник"</v>
      </c>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c r="AS29" s="2305"/>
      <c r="AT29" s="2305"/>
      <c r="AU29" s="2305"/>
      <c r="AV29" s="2305"/>
      <c r="AW29" s="2305"/>
      <c r="AX29" s="2305"/>
      <c r="AY29" s="2305"/>
      <c r="AZ29" s="2305"/>
      <c r="BA29" s="1299"/>
      <c r="BI29" s="1211">
        <v>14</v>
      </c>
    </row>
    <row customHeight="1" ht="14.25">
      <c r="Q30" s="347"/>
      <c r="R30" s="432"/>
      <c r="S30" s="1331"/>
      <c r="T30" s="419"/>
      <c r="U30" s="419"/>
      <c r="V30" s="378"/>
      <c r="W30" s="378"/>
      <c r="X30" s="378"/>
      <c r="Y30" s="378"/>
      <c r="Z30" s="378"/>
      <c r="AA30" s="378"/>
      <c r="AB30" s="378"/>
      <c r="AC30" s="378"/>
      <c r="AD30" s="378"/>
      <c r="AE30" s="378"/>
      <c r="AF30" s="378"/>
      <c r="AG30" s="378"/>
      <c r="AH30" s="378"/>
      <c r="AI30" s="378"/>
      <c r="AJ30" s="378"/>
      <c r="AK30" s="378"/>
      <c r="AL30" s="378"/>
      <c r="AM30" s="378"/>
      <c r="AN30" s="378"/>
      <c r="AO30" s="378"/>
      <c r="AP30" s="378"/>
      <c r="AQ30" s="378"/>
      <c r="AR30" s="378"/>
      <c r="AS30" s="378"/>
      <c r="AT30" s="378"/>
      <c r="AU30" s="378"/>
      <c r="AV30" s="378"/>
      <c r="AW30" s="378"/>
      <c r="AX30" s="378"/>
      <c r="AY30" s="378"/>
      <c r="AZ30" s="378"/>
      <c r="BA30" s="378"/>
      <c r="BB30" s="565"/>
      <c r="BI30" s="1211">
        <v>0</v>
      </c>
    </row>
    <row s="2983" customFormat="1" customHeight="1" ht="25.5">
      <c r="A31" s="1424"/>
      <c r="B31" s="1424"/>
      <c r="C31" s="1424"/>
      <c r="D31" s="1424"/>
      <c r="E31" s="1424"/>
      <c r="F31" s="1424"/>
      <c r="G31" s="1424"/>
      <c r="H31" s="1424"/>
      <c r="I31" s="1424"/>
      <c r="J31" s="1424"/>
      <c r="K31" s="1424"/>
      <c r="L31" s="1425"/>
      <c r="M31" s="1424"/>
      <c r="N31" s="1424"/>
      <c r="O31" s="1424"/>
      <c r="P31" s="1424"/>
      <c r="Q31" s="1424"/>
      <c r="S31" s="2306" t="s">
        <v>42</v>
      </c>
      <c r="T31" s="2306"/>
      <c r="U31" s="1428"/>
      <c r="V31" s="2307" t="str">
        <f>IF(TITLE_NAME_OR_PR_CHANGE="",IF(TITLE_NAME_OR_PR="","",TITLE_NAME_OR_PR),TITLE_NAME_OR_PR_CHANGE)</f>
        <v>Министерство по тарифам и ценам Курской области</v>
      </c>
      <c r="W31" s="2307"/>
      <c r="X31" s="2307"/>
      <c r="Y31" s="2307"/>
      <c r="Z31" s="2307"/>
      <c r="AA31" s="2307"/>
      <c r="AB31" s="2307"/>
      <c r="AC31" s="382"/>
      <c r="AD31" s="2307" t="str">
        <f>IF(TITLE_NAME_OR_PR_CHANGE="",IF(TITLE_NAME_OR_PR="","",TITLE_NAME_OR_PR),TITLE_NAME_OR_PR_CHANGE)</f>
        <v>Министерство по тарифам и ценам Курской области</v>
      </c>
      <c r="AE31" s="2307"/>
      <c r="AF31" s="2307"/>
      <c r="AG31" s="2307"/>
      <c r="AH31" s="2307"/>
      <c r="AI31" s="2307"/>
      <c r="AJ31" s="2307"/>
      <c r="AK31" s="2307"/>
      <c r="AL31" s="2307"/>
      <c r="AM31" s="2307"/>
      <c r="AN31" s="2307"/>
      <c r="AO31" s="2307"/>
      <c r="AP31" s="2307"/>
      <c r="AQ31" s="2307"/>
      <c r="AR31" s="2307"/>
      <c r="AS31" s="2307"/>
      <c r="AT31" s="2307"/>
      <c r="AU31" s="2307"/>
      <c r="AV31" s="2307"/>
      <c r="AW31" s="2307"/>
      <c r="AX31" s="2307"/>
      <c r="AY31" s="2307"/>
      <c r="AZ31" s="2307"/>
      <c r="BA31" s="382"/>
      <c r="BB31" s="382"/>
      <c r="BC31" s="336"/>
      <c r="BD31" s="424"/>
      <c r="BE31" s="424"/>
      <c r="BF31" s="424"/>
      <c r="BG31" s="424"/>
      <c r="BH31" s="424"/>
      <c r="BI31" s="474">
        <v>0</v>
      </c>
    </row>
    <row s="2983" customFormat="1" customHeight="1" ht="18.75">
      <c r="A32" s="1424"/>
      <c r="B32" s="1424"/>
      <c r="C32" s="1424"/>
      <c r="D32" s="1424"/>
      <c r="E32" s="1424"/>
      <c r="F32" s="1424"/>
      <c r="G32" s="1424"/>
      <c r="H32" s="1424"/>
      <c r="I32" s="1424"/>
      <c r="J32" s="1424"/>
      <c r="K32" s="1424"/>
      <c r="L32" s="1425"/>
      <c r="M32" s="1424"/>
      <c r="N32" s="1424"/>
      <c r="O32" s="1424"/>
      <c r="P32" s="1424"/>
      <c r="Q32" s="1424"/>
      <c r="S32" s="2306" t="s">
        <v>553</v>
      </c>
      <c r="T32" s="2306"/>
      <c r="U32" s="1428"/>
      <c r="V32" s="2320" t="str">
        <f>IF(TITLE_DATE_PR_CHANGE="",IF(TITLE_DATE_PR="","",TITLE_DATE_PR),TITLE_DATE_PR_CHANGE)</f>
        <v>45645</v>
      </c>
      <c r="W32" s="2320"/>
      <c r="X32" s="2320"/>
      <c r="Y32" s="2320"/>
      <c r="Z32" s="2320"/>
      <c r="AA32" s="2320"/>
      <c r="AB32" s="2320"/>
      <c r="AC32" s="382"/>
      <c r="AD32" s="2320" t="str">
        <f>IF(TITLE_DATE_PR_CHANGE="",IF(TITLE_DATE_PR="","",TITLE_DATE_PR),TITLE_DATE_PR_CHANGE)</f>
        <v>45645</v>
      </c>
      <c r="AE32" s="2320"/>
      <c r="AF32" s="2320"/>
      <c r="AG32" s="2320"/>
      <c r="AH32" s="2320"/>
      <c r="AI32" s="2320"/>
      <c r="AJ32" s="2320"/>
      <c r="AK32" s="2320"/>
      <c r="AL32" s="2320"/>
      <c r="AM32" s="2320"/>
      <c r="AN32" s="2320"/>
      <c r="AO32" s="2320"/>
      <c r="AP32" s="2320"/>
      <c r="AQ32" s="2320"/>
      <c r="AR32" s="2320"/>
      <c r="AS32" s="2320"/>
      <c r="AT32" s="2320"/>
      <c r="AU32" s="2320"/>
      <c r="AV32" s="2320"/>
      <c r="AW32" s="2320"/>
      <c r="AX32" s="2320"/>
      <c r="AY32" s="2320"/>
      <c r="AZ32" s="2320"/>
      <c r="BA32" s="382"/>
      <c r="BB32" s="382"/>
      <c r="BC32" s="336"/>
      <c r="BD32" s="424"/>
      <c r="BE32" s="424"/>
      <c r="BF32" s="424"/>
      <c r="BG32" s="424"/>
      <c r="BH32" s="424"/>
      <c r="BI32" s="474">
        <v>0</v>
      </c>
    </row>
    <row s="2983" customFormat="1" customHeight="1" ht="18.75">
      <c r="A33" s="1424"/>
      <c r="B33" s="1424"/>
      <c r="C33" s="1424"/>
      <c r="D33" s="1424"/>
      <c r="E33" s="1424"/>
      <c r="F33" s="1424"/>
      <c r="G33" s="1424"/>
      <c r="H33" s="1424"/>
      <c r="I33" s="1424"/>
      <c r="J33" s="1424"/>
      <c r="K33" s="1424"/>
      <c r="L33" s="1425"/>
      <c r="M33" s="1424"/>
      <c r="N33" s="1424"/>
      <c r="O33" s="1424"/>
      <c r="P33" s="1424"/>
      <c r="Q33" s="1424"/>
      <c r="S33" s="2306" t="s">
        <v>554</v>
      </c>
      <c r="T33" s="2306"/>
      <c r="U33" s="1428"/>
      <c r="V33" s="2307" t="str">
        <f>IF(TITLE_NUMBER_PR_CHANGE="",IF(TITLE_NUMBER_PR="","",TITLE_NUMBER_PR),TITLE_NUMBER_PR_CHANGE)</f>
        <v>208-вод</v>
      </c>
      <c r="W33" s="2307"/>
      <c r="X33" s="2307"/>
      <c r="Y33" s="2307"/>
      <c r="Z33" s="2307"/>
      <c r="AA33" s="2307"/>
      <c r="AB33" s="2307"/>
      <c r="AC33" s="382"/>
      <c r="AD33" s="2307" t="str">
        <f>IF(TITLE_NUMBER_PR_CHANGE="",IF(TITLE_NUMBER_PR="","",TITLE_NUMBER_PR),TITLE_NUMBER_PR_CHANGE)</f>
        <v>208-вод</v>
      </c>
      <c r="AE33" s="2307"/>
      <c r="AF33" s="2307"/>
      <c r="AG33" s="2307"/>
      <c r="AH33" s="2307"/>
      <c r="AI33" s="2307"/>
      <c r="AJ33" s="2307"/>
      <c r="AK33" s="2307"/>
      <c r="AL33" s="2307"/>
      <c r="AM33" s="2307"/>
      <c r="AN33" s="2307"/>
      <c r="AO33" s="2307"/>
      <c r="AP33" s="2307"/>
      <c r="AQ33" s="2307"/>
      <c r="AR33" s="2307"/>
      <c r="AS33" s="2307"/>
      <c r="AT33" s="2307"/>
      <c r="AU33" s="2307"/>
      <c r="AV33" s="2307"/>
      <c r="AW33" s="2307"/>
      <c r="AX33" s="2307"/>
      <c r="AY33" s="2307"/>
      <c r="AZ33" s="2307"/>
      <c r="BA33" s="382"/>
      <c r="BB33" s="382"/>
      <c r="BC33" s="336"/>
      <c r="BD33" s="424"/>
      <c r="BE33" s="424"/>
      <c r="BF33" s="424"/>
      <c r="BG33" s="424"/>
      <c r="BH33" s="424"/>
      <c r="BI33" s="474">
        <v>0</v>
      </c>
    </row>
    <row s="2983" customFormat="1" customHeight="1" ht="18.75">
      <c r="A34" s="1424"/>
      <c r="B34" s="1424"/>
      <c r="C34" s="1424"/>
      <c r="D34" s="1424"/>
      <c r="E34" s="1424"/>
      <c r="F34" s="1424"/>
      <c r="G34" s="1424"/>
      <c r="H34" s="1424"/>
      <c r="I34" s="1424"/>
      <c r="J34" s="1424"/>
      <c r="K34" s="1424"/>
      <c r="L34" s="1425"/>
      <c r="M34" s="1424"/>
      <c r="N34" s="1424"/>
      <c r="O34" s="1424"/>
      <c r="P34" s="1424"/>
      <c r="Q34" s="1424"/>
      <c r="S34" s="2306" t="s">
        <v>44</v>
      </c>
      <c r="T34" s="2306"/>
      <c r="U34" s="1428"/>
      <c r="V34" s="2307" t="str">
        <f>IF(TITLE_IST_PUB_CHANGE="",IF(TITLE_IST_PUB="","",TITLE_IST_PUB),TITLE_IST_PUB_CHANGE)</f>
        <v>Газета "Курская правда" №155 от 26.12.2024 г.</v>
      </c>
      <c r="W34" s="2307"/>
      <c r="X34" s="2307"/>
      <c r="Y34" s="2307"/>
      <c r="Z34" s="2307"/>
      <c r="AA34" s="2307"/>
      <c r="AB34" s="2307"/>
      <c r="AC34" s="382"/>
      <c r="AD34" s="2307" t="str">
        <f>IF(TITLE_IST_PUB_CHANGE="",IF(TITLE_IST_PUB="","",TITLE_IST_PUB),TITLE_IST_PUB_CHANGE)</f>
        <v>Газета "Курская правда" №155 от 26.12.2024 г.</v>
      </c>
      <c r="AE34" s="2307"/>
      <c r="AF34" s="2307"/>
      <c r="AG34" s="2307"/>
      <c r="AH34" s="2307"/>
      <c r="AI34" s="2307"/>
      <c r="AJ34" s="2307"/>
      <c r="AK34" s="2307"/>
      <c r="AL34" s="2307"/>
      <c r="AM34" s="2307"/>
      <c r="AN34" s="2307"/>
      <c r="AO34" s="2307"/>
      <c r="AP34" s="2307"/>
      <c r="AQ34" s="2307"/>
      <c r="AR34" s="2307"/>
      <c r="AS34" s="2307"/>
      <c r="AT34" s="2307"/>
      <c r="AU34" s="2307"/>
      <c r="AV34" s="2307"/>
      <c r="AW34" s="2307"/>
      <c r="AX34" s="2307"/>
      <c r="AY34" s="2307"/>
      <c r="AZ34" s="2307"/>
      <c r="BA34" s="382"/>
      <c r="BB34" s="382"/>
      <c r="BC34" s="336"/>
      <c r="BD34" s="424"/>
      <c r="BE34" s="424"/>
      <c r="BF34" s="424"/>
      <c r="BG34" s="424"/>
      <c r="BH34" s="424"/>
      <c r="BI34" s="474">
        <v>0</v>
      </c>
    </row>
    <row customHeight="1" ht="14.25" hidden="1">
      <c r="Q35" s="347"/>
      <c r="R35" s="432"/>
      <c r="S35" s="1331"/>
      <c r="T35" s="419"/>
      <c r="U35" s="419"/>
      <c r="V35" s="378"/>
      <c r="W35" s="378"/>
      <c r="X35" s="378"/>
      <c r="Y35" s="378"/>
      <c r="Z35" s="378"/>
      <c r="AA35" s="378"/>
      <c r="AB35" s="378"/>
      <c r="AC35" s="378"/>
      <c r="AD35" s="378"/>
      <c r="AE35" s="378"/>
      <c r="AF35" s="378"/>
      <c r="AG35" s="378"/>
      <c r="AH35" s="378"/>
      <c r="AI35" s="378"/>
      <c r="AJ35" s="378"/>
      <c r="AK35" s="378"/>
      <c r="AL35" s="378"/>
      <c r="AM35" s="378"/>
      <c r="AN35" s="378"/>
      <c r="AO35" s="378"/>
      <c r="AP35" s="378"/>
      <c r="AQ35" s="378"/>
      <c r="AR35" s="378"/>
      <c r="AS35" s="378"/>
      <c r="AT35" s="378"/>
      <c r="AU35" s="378"/>
      <c r="AV35" s="378"/>
      <c r="AW35" s="378"/>
      <c r="AX35" s="378"/>
      <c r="AY35" s="378"/>
      <c r="AZ35" s="378"/>
      <c r="BA35" s="378"/>
      <c r="BB35" s="565"/>
      <c r="BI35" s="1211">
        <v>0</v>
      </c>
    </row>
    <row s="2983" customFormat="1" customHeight="1" ht="18.75" hidden="1">
      <c r="A36" s="1424"/>
      <c r="B36" s="1424"/>
      <c r="C36" s="1424"/>
      <c r="D36" s="1424"/>
      <c r="E36" s="1424"/>
      <c r="F36" s="1424"/>
      <c r="G36" s="1424"/>
      <c r="H36" s="1424"/>
      <c r="I36" s="1424"/>
      <c r="J36" s="1424"/>
      <c r="K36" s="1424"/>
      <c r="L36" s="1425"/>
      <c r="M36" s="1424"/>
      <c r="N36" s="1424"/>
      <c r="O36" s="1424"/>
      <c r="P36" s="1424"/>
      <c r="Q36" s="1424"/>
      <c r="S36" s="2306" t="s">
        <v>553</v>
      </c>
      <c r="T36" s="2306"/>
      <c r="U36" s="1428"/>
      <c r="V36" s="2320" t="str">
        <f>IF(TITLE_DATE_PR_CHANGE="",IF(TITLE_DATE_PR="","",TITLE_DATE_PR),TITLE_DATE_PR_CHANGE)</f>
        <v>45645</v>
      </c>
      <c r="W36" s="2320"/>
      <c r="X36" s="2320"/>
      <c r="Y36" s="2320"/>
      <c r="Z36" s="2320"/>
      <c r="AA36" s="2320"/>
      <c r="AB36" s="2320"/>
      <c r="AC36" s="382"/>
      <c r="AD36" s="2320" t="str">
        <f>IF(TITLE_DATE_PR_CHANGE="",IF(TITLE_DATE_PR="","",TITLE_DATE_PR),TITLE_DATE_PR_CHANGE)</f>
        <v>45645</v>
      </c>
      <c r="AE36" s="2320"/>
      <c r="AF36" s="2320"/>
      <c r="AG36" s="2320"/>
      <c r="AH36" s="2320"/>
      <c r="AI36" s="2320"/>
      <c r="AJ36" s="2320"/>
      <c r="AK36" s="2320"/>
      <c r="AL36" s="2320"/>
      <c r="AM36" s="2320"/>
      <c r="AN36" s="2320"/>
      <c r="AO36" s="2320"/>
      <c r="AP36" s="2320"/>
      <c r="AQ36" s="2320"/>
      <c r="AR36" s="2320"/>
      <c r="AS36" s="2320"/>
      <c r="AT36" s="2320"/>
      <c r="AU36" s="2320"/>
      <c r="AV36" s="2320"/>
      <c r="AW36" s="2320"/>
      <c r="AX36" s="2320"/>
      <c r="AY36" s="2320"/>
      <c r="AZ36" s="2320"/>
      <c r="BA36" s="382"/>
      <c r="BB36" s="382"/>
      <c r="BC36" s="336"/>
      <c r="BD36" s="424"/>
      <c r="BE36" s="424"/>
      <c r="BF36" s="424"/>
      <c r="BG36" s="424"/>
      <c r="BH36" s="424"/>
      <c r="BI36" s="474">
        <v>0</v>
      </c>
    </row>
    <row s="2983" customFormat="1" customHeight="1" ht="18.75" hidden="1">
      <c r="A37" s="1424"/>
      <c r="B37" s="1424"/>
      <c r="C37" s="1424"/>
      <c r="D37" s="1424"/>
      <c r="E37" s="1424"/>
      <c r="F37" s="1424"/>
      <c r="G37" s="1424"/>
      <c r="H37" s="1424"/>
      <c r="I37" s="1424"/>
      <c r="J37" s="1424"/>
      <c r="K37" s="1424"/>
      <c r="L37" s="1425"/>
      <c r="M37" s="1424"/>
      <c r="N37" s="1424"/>
      <c r="O37" s="1424"/>
      <c r="P37" s="1424"/>
      <c r="Q37" s="1424"/>
      <c r="S37" s="2306" t="s">
        <v>554</v>
      </c>
      <c r="T37" s="2306"/>
      <c r="U37" s="1428"/>
      <c r="V37" s="2307" t="str">
        <f>IF(TITLE_NUMBER_PR_CHANGE="",IF(TITLE_NUMBER_PR="","",TITLE_NUMBER_PR),TITLE_NUMBER_PR_CHANGE)</f>
        <v>208-вод</v>
      </c>
      <c r="W37" s="2307"/>
      <c r="X37" s="2307"/>
      <c r="Y37" s="2307"/>
      <c r="Z37" s="2307"/>
      <c r="AA37" s="2307"/>
      <c r="AB37" s="2307"/>
      <c r="AC37" s="382"/>
      <c r="AD37" s="2307" t="str">
        <f>IF(TITLE_NUMBER_PR_CHANGE="",IF(TITLE_NUMBER_PR="","",TITLE_NUMBER_PR),TITLE_NUMBER_PR_CHANGE)</f>
        <v>208-вод</v>
      </c>
      <c r="AE37" s="2307"/>
      <c r="AF37" s="2307"/>
      <c r="AG37" s="2307"/>
      <c r="AH37" s="2307"/>
      <c r="AI37" s="2307"/>
      <c r="AJ37" s="2307"/>
      <c r="AK37" s="2307"/>
      <c r="AL37" s="2307"/>
      <c r="AM37" s="2307"/>
      <c r="AN37" s="2307"/>
      <c r="AO37" s="2307"/>
      <c r="AP37" s="2307"/>
      <c r="AQ37" s="2307"/>
      <c r="AR37" s="2307"/>
      <c r="AS37" s="2307"/>
      <c r="AT37" s="2307"/>
      <c r="AU37" s="2307"/>
      <c r="AV37" s="2307"/>
      <c r="AW37" s="2307"/>
      <c r="AX37" s="2307"/>
      <c r="AY37" s="2307"/>
      <c r="AZ37" s="2307"/>
      <c r="BA37" s="382"/>
      <c r="BB37" s="382"/>
      <c r="BC37" s="336"/>
      <c r="BD37" s="424"/>
      <c r="BE37" s="424"/>
      <c r="BF37" s="424"/>
      <c r="BG37" s="424"/>
      <c r="BH37" s="424"/>
      <c r="BI37" s="474">
        <v>0</v>
      </c>
    </row>
    <row s="2983" customFormat="1" customHeight="1" ht="0">
      <c r="A38" s="1424"/>
      <c r="B38" s="1424"/>
      <c r="C38" s="1424"/>
      <c r="D38" s="1424"/>
      <c r="E38" s="1424"/>
      <c r="F38" s="1424"/>
      <c r="G38" s="1424"/>
      <c r="H38" s="1424"/>
      <c r="I38" s="1424"/>
      <c r="J38" s="1424"/>
      <c r="K38" s="1424"/>
      <c r="L38" s="1425"/>
      <c r="M38" s="1424"/>
      <c r="N38" s="1424"/>
      <c r="O38" s="1424"/>
      <c r="P38" s="1424"/>
      <c r="Q38" s="1424"/>
      <c r="S38" s="379"/>
      <c r="T38" s="379"/>
      <c r="U38" s="1544"/>
      <c r="V38" s="382"/>
      <c r="W38" s="382"/>
      <c r="X38" s="382"/>
      <c r="Y38" s="382"/>
      <c r="Z38" s="382"/>
      <c r="AA38" s="382"/>
      <c r="AB38" s="382"/>
      <c r="AC38" s="334" t="s">
        <v>557</v>
      </c>
      <c r="AD38" s="382"/>
      <c r="AE38" s="382"/>
      <c r="AF38" s="382"/>
      <c r="AG38" s="382"/>
      <c r="AH38" s="382"/>
      <c r="AI38" s="382"/>
      <c r="AJ38" s="382"/>
      <c r="AK38" s="382"/>
      <c r="AL38" s="382"/>
      <c r="AM38" s="382"/>
      <c r="AN38" s="382"/>
      <c r="AO38" s="382"/>
      <c r="AP38" s="382"/>
      <c r="AQ38" s="382"/>
      <c r="AR38" s="382"/>
      <c r="AS38" s="382"/>
      <c r="AT38" s="382"/>
      <c r="AU38" s="382"/>
      <c r="AV38" s="382"/>
      <c r="AW38" s="382"/>
      <c r="AX38" s="382"/>
      <c r="AY38" s="382"/>
      <c r="AZ38" s="382"/>
      <c r="BA38" s="334" t="s">
        <v>557</v>
      </c>
      <c r="BD38" s="424"/>
      <c r="BE38" s="424"/>
      <c r="BF38" s="424"/>
      <c r="BG38" s="424"/>
      <c r="BH38" s="424"/>
      <c r="BI38" s="474">
        <v>0</v>
      </c>
    </row>
    <row customHeight="1" ht="14.699999999999998">
      <c r="Q39" s="347"/>
      <c r="R39" s="432"/>
      <c r="S39" s="1331"/>
      <c r="T39" s="419"/>
      <c r="U39" s="1300"/>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c r="AS39" s="2308"/>
      <c r="AT39" s="2308"/>
      <c r="AU39" s="2308"/>
      <c r="AV39" s="2308"/>
      <c r="AW39" s="2308"/>
      <c r="AX39" s="2308"/>
      <c r="AY39" s="2308"/>
      <c r="AZ39" s="2308"/>
      <c r="BA39" s="2308"/>
      <c r="BI39" s="1211">
        <v>14</v>
      </c>
    </row>
    <row customHeight="1" ht="14.699999999999998">
      <c r="Q40" s="347"/>
      <c r="R40" s="432"/>
      <c r="S40" s="2183" t="s">
        <v>432</v>
      </c>
      <c r="T40" s="2183"/>
      <c r="U40" s="2183"/>
      <c r="V40" s="2183"/>
      <c r="W40" s="2183"/>
      <c r="X40" s="2183"/>
      <c r="Y40" s="2183"/>
      <c r="Z40" s="2183"/>
      <c r="AA40" s="2183"/>
      <c r="AB40" s="2183"/>
      <c r="AC40" s="2183"/>
      <c r="AD40" s="2183"/>
      <c r="AE40" s="2183"/>
      <c r="AF40" s="2183"/>
      <c r="AG40" s="2183"/>
      <c r="AH40" s="2183"/>
      <c r="AI40" s="2183"/>
      <c r="AJ40" s="2183"/>
      <c r="AK40" s="2183"/>
      <c r="AL40" s="2183"/>
      <c r="AM40" s="2183"/>
      <c r="AN40" s="2183"/>
      <c r="AO40" s="2183"/>
      <c r="AP40" s="2183"/>
      <c r="AQ40" s="2183"/>
      <c r="AR40" s="2183"/>
      <c r="AS40" s="2183"/>
      <c r="AT40" s="2183"/>
      <c r="AU40" s="2183"/>
      <c r="AV40" s="2183"/>
      <c r="AW40" s="2183"/>
      <c r="AX40" s="2183"/>
      <c r="AY40" s="2183"/>
      <c r="AZ40" s="2183"/>
      <c r="BA40" s="2183"/>
      <c r="BB40" s="2183"/>
      <c r="BC40" s="2183" t="s">
        <v>433</v>
      </c>
      <c r="BI40" s="1211">
        <v>14</v>
      </c>
    </row>
    <row customHeight="1" ht="14.699999999999998">
      <c r="Q41" s="347"/>
      <c r="R41" s="432"/>
      <c r="S41" s="2329" t="s">
        <v>92</v>
      </c>
      <c r="T41" s="2265" t="s">
        <v>640</v>
      </c>
      <c r="U41" s="357"/>
      <c r="V41" s="2330" t="s">
        <v>559</v>
      </c>
      <c r="W41" s="2331"/>
      <c r="X41" s="2331"/>
      <c r="Y41" s="2331"/>
      <c r="Z41" s="2331"/>
      <c r="AA41" s="2331"/>
      <c r="AB41" s="2332"/>
      <c r="AC41" s="2333" t="s">
        <v>560</v>
      </c>
      <c r="AD41" s="2384" t="s">
        <v>641</v>
      </c>
      <c r="AE41" s="2347"/>
      <c r="AF41" s="2347"/>
      <c r="AG41" s="2385"/>
      <c r="AH41" s="2384" t="s">
        <v>642</v>
      </c>
      <c r="AI41" s="2347"/>
      <c r="AJ41" s="2347"/>
      <c r="AK41" s="2385"/>
      <c r="AL41" s="2384" t="s">
        <v>643</v>
      </c>
      <c r="AM41" s="2347"/>
      <c r="AN41" s="2347"/>
      <c r="AO41" s="2385"/>
      <c r="AP41" s="2384" t="s">
        <v>644</v>
      </c>
      <c r="AQ41" s="2347"/>
      <c r="AR41" s="2347"/>
      <c r="AS41" s="2385"/>
      <c r="AT41" s="2330" t="s">
        <v>559</v>
      </c>
      <c r="AU41" s="2331"/>
      <c r="AV41" s="2331"/>
      <c r="AW41" s="2331"/>
      <c r="AX41" s="2331"/>
      <c r="AY41" s="2331"/>
      <c r="AZ41" s="2332"/>
      <c r="BA41" s="2333" t="s">
        <v>560</v>
      </c>
      <c r="BB41" s="2336" t="s">
        <v>562</v>
      </c>
      <c r="BC41" s="2183"/>
      <c r="BI41" s="1211">
        <v>14</v>
      </c>
    </row>
    <row customHeight="1" ht="35.699999999999996">
      <c r="Q42" s="347"/>
      <c r="R42" s="432"/>
      <c r="S42" s="2329"/>
      <c r="T42" s="2265"/>
      <c r="U42" s="1087"/>
      <c r="V42" s="2248" t="s">
        <v>645</v>
      </c>
      <c r="W42" s="2249"/>
      <c r="X42" s="2248" t="s">
        <v>646</v>
      </c>
      <c r="Y42" s="2249"/>
      <c r="Z42" s="2350" t="s">
        <v>647</v>
      </c>
      <c r="AA42" s="2369"/>
      <c r="AB42" s="2370"/>
      <c r="AC42" s="2334"/>
      <c r="AD42" s="2386"/>
      <c r="AE42" s="2387"/>
      <c r="AF42" s="2387"/>
      <c r="AG42" s="2388"/>
      <c r="AH42" s="2386"/>
      <c r="AI42" s="2387"/>
      <c r="AJ42" s="2387"/>
      <c r="AK42" s="2388"/>
      <c r="AL42" s="2386"/>
      <c r="AM42" s="2387"/>
      <c r="AN42" s="2387"/>
      <c r="AO42" s="2388"/>
      <c r="AP42" s="2386"/>
      <c r="AQ42" s="2387"/>
      <c r="AR42" s="2387"/>
      <c r="AS42" s="2388"/>
      <c r="AT42" s="2248" t="s">
        <v>645</v>
      </c>
      <c r="AU42" s="2249"/>
      <c r="AV42" s="2248" t="s">
        <v>646</v>
      </c>
      <c r="AW42" s="2249"/>
      <c r="AX42" s="2350" t="s">
        <v>647</v>
      </c>
      <c r="AY42" s="2369"/>
      <c r="AZ42" s="2370"/>
      <c r="BA42" s="2334"/>
      <c r="BB42" s="2337"/>
      <c r="BC42" s="2183"/>
      <c r="BI42" s="1211">
        <v>34</v>
      </c>
    </row>
    <row customHeight="1" ht="14.699999999999998">
      <c r="Q43" s="347"/>
      <c r="R43" s="432"/>
      <c r="S43" s="2329"/>
      <c r="T43" s="2265"/>
      <c r="U43" s="1087"/>
      <c r="V43" s="2256"/>
      <c r="W43" s="2257"/>
      <c r="X43" s="2256"/>
      <c r="Y43" s="2257"/>
      <c r="Z43" s="2351"/>
      <c r="AA43" s="2371"/>
      <c r="AB43" s="2372"/>
      <c r="AC43" s="2334"/>
      <c r="AD43" s="2386"/>
      <c r="AE43" s="2387"/>
      <c r="AF43" s="2387"/>
      <c r="AG43" s="2388"/>
      <c r="AH43" s="2386"/>
      <c r="AI43" s="2387"/>
      <c r="AJ43" s="2387"/>
      <c r="AK43" s="2388"/>
      <c r="AL43" s="2386"/>
      <c r="AM43" s="2387"/>
      <c r="AN43" s="2387"/>
      <c r="AO43" s="2388"/>
      <c r="AP43" s="2386"/>
      <c r="AQ43" s="2387"/>
      <c r="AR43" s="2387"/>
      <c r="AS43" s="2388"/>
      <c r="AT43" s="2256"/>
      <c r="AU43" s="2257"/>
      <c r="AV43" s="2256"/>
      <c r="AW43" s="2257"/>
      <c r="AX43" s="2351"/>
      <c r="AY43" s="2371"/>
      <c r="AZ43" s="2372"/>
      <c r="BA43" s="2334"/>
      <c r="BB43" s="2337"/>
      <c r="BC43" s="2183"/>
      <c r="BI43" s="1211">
        <v>14</v>
      </c>
    </row>
    <row customHeight="1" ht="14.699999999999998">
      <c r="A44" s="1426"/>
      <c r="B44" s="1426" t="s">
        <v>214</v>
      </c>
      <c r="C44" s="1426" t="s">
        <v>215</v>
      </c>
      <c r="D44" s="1426" t="s">
        <v>216</v>
      </c>
      <c r="E44" s="1420" t="s">
        <v>567</v>
      </c>
      <c r="F44" s="1420" t="s">
        <v>568</v>
      </c>
      <c r="G44" s="1420" t="s">
        <v>569</v>
      </c>
      <c r="H44" s="1420" t="s">
        <v>570</v>
      </c>
      <c r="I44" s="1420" t="s">
        <v>571</v>
      </c>
      <c r="J44" s="1420" t="s">
        <v>572</v>
      </c>
      <c r="K44" s="1420" t="s">
        <v>573</v>
      </c>
      <c r="L44" s="1420" t="s">
        <v>548</v>
      </c>
      <c r="Q44" s="347"/>
      <c r="R44" s="432"/>
      <c r="S44" s="2329"/>
      <c r="T44" s="2265"/>
      <c r="U44" s="358"/>
      <c r="V44" s="1535" t="s">
        <v>607</v>
      </c>
      <c r="W44" s="1535" t="s">
        <v>608</v>
      </c>
      <c r="X44" s="1535" t="s">
        <v>607</v>
      </c>
      <c r="Y44" s="1535" t="s">
        <v>608</v>
      </c>
      <c r="Z44" s="1545" t="s">
        <v>576</v>
      </c>
      <c r="AA44" s="2326" t="s">
        <v>577</v>
      </c>
      <c r="AB44" s="2327"/>
      <c r="AC44" s="2335"/>
      <c r="AD44" s="2389"/>
      <c r="AE44" s="2390"/>
      <c r="AF44" s="2390"/>
      <c r="AG44" s="2391"/>
      <c r="AH44" s="2389"/>
      <c r="AI44" s="2390"/>
      <c r="AJ44" s="2390"/>
      <c r="AK44" s="2391"/>
      <c r="AL44" s="2389"/>
      <c r="AM44" s="2390"/>
      <c r="AN44" s="2390"/>
      <c r="AO44" s="2391"/>
      <c r="AP44" s="2389"/>
      <c r="AQ44" s="2390"/>
      <c r="AR44" s="2390"/>
      <c r="AS44" s="2391"/>
      <c r="AT44" s="1535" t="s">
        <v>607</v>
      </c>
      <c r="AU44" s="1535" t="s">
        <v>608</v>
      </c>
      <c r="AV44" s="1535" t="s">
        <v>607</v>
      </c>
      <c r="AW44" s="1535" t="s">
        <v>608</v>
      </c>
      <c r="AX44" s="1545" t="s">
        <v>576</v>
      </c>
      <c r="AY44" s="2326" t="s">
        <v>577</v>
      </c>
      <c r="AZ44" s="2327"/>
      <c r="BA44" s="2335"/>
      <c r="BB44" s="2338"/>
      <c r="BC44" s="2183"/>
      <c r="BI44" s="1211">
        <v>14</v>
      </c>
    </row>
    <row s="3442" customFormat="1" customHeight="1" ht="0">
      <c r="A45" s="1426"/>
      <c r="B45" s="1426"/>
      <c r="C45" s="1426"/>
      <c r="D45" s="1426"/>
      <c r="E45" s="1426"/>
      <c r="F45" s="1426"/>
      <c r="G45" s="1426"/>
      <c r="H45" s="1426"/>
      <c r="I45" s="1426"/>
      <c r="J45" s="1426"/>
      <c r="K45" s="1426"/>
      <c r="L45" s="1420"/>
      <c r="M45" s="1418"/>
      <c r="N45" s="1418"/>
      <c r="O45" s="1418"/>
      <c r="P45" s="566"/>
      <c r="Q45" s="1310"/>
      <c r="R45" s="1310">
        <v>1</v>
      </c>
      <c r="S45" s="1333" t="s">
        <v>191</v>
      </c>
      <c r="T45" s="1311" t="s">
        <v>108</v>
      </c>
      <c r="U45" s="1301" t="str">
        <f>OFFSET(U45,0,-1)</f>
        <v>2</v>
      </c>
      <c r="V45" s="1538">
        <f>OFFSET(V45,0,-1)+1</f>
        <v>3</v>
      </c>
      <c r="W45" s="1538">
        <f>OFFSET(W45,0,-1)+1</f>
        <v>4</v>
      </c>
      <c r="X45" s="1538">
        <f>OFFSET(X45,0,-1)+1</f>
        <v>5</v>
      </c>
      <c r="Y45" s="1538">
        <f>OFFSET(Y45,0,-1)+1</f>
        <v>6</v>
      </c>
      <c r="Z45" s="1538">
        <f>OFFSET(Z45,0,-1)+1</f>
        <v>7</v>
      </c>
      <c r="AA45" s="2328">
        <f>OFFSET(AA45,0,-1)+1</f>
        <v>8</v>
      </c>
      <c r="AB45" s="2328"/>
      <c r="AC45" s="1538">
        <f>OFFSET(AC45,0,-2)+1</f>
        <v>9</v>
      </c>
      <c r="AD45" s="1538">
        <f>OFFSET(AD45,0,-1)+1</f>
        <v>10</v>
      </c>
      <c r="AE45" s="1538"/>
      <c r="AF45" s="1538"/>
      <c r="AG45" s="1538"/>
      <c r="AH45" s="1538"/>
      <c r="AI45" s="1538"/>
      <c r="AJ45" s="1538"/>
      <c r="AK45" s="1538"/>
      <c r="AL45" s="1538"/>
      <c r="AM45" s="1538"/>
      <c r="AN45" s="1538"/>
      <c r="AO45" s="1538"/>
      <c r="AP45" s="1538"/>
      <c r="AQ45" s="1538"/>
      <c r="AR45" s="1538"/>
      <c r="AS45" s="1538"/>
      <c r="AT45" s="1538"/>
      <c r="AU45" s="1538"/>
      <c r="AV45" s="1538"/>
      <c r="AW45" s="1538">
        <f>OFFSET(AW45,0,-1)+1</f>
        <v>1</v>
      </c>
      <c r="AX45" s="1538">
        <f>OFFSET(AX45,0,-1)+1</f>
        <v>2</v>
      </c>
      <c r="AY45" s="2328">
        <f>OFFSET(AY45,0,-1)+1</f>
        <v>3</v>
      </c>
      <c r="AZ45" s="2328"/>
      <c r="BA45" s="1538">
        <f>OFFSET(BA45,0,-2)+1</f>
        <v>4</v>
      </c>
      <c r="BB45" s="1301">
        <f>OFFSET(BB45,0,-1)</f>
        <v>4</v>
      </c>
      <c r="BC45" s="1538">
        <f>OFFSET(BC45,0,-1)+1</f>
        <v>5</v>
      </c>
      <c r="BD45" s="567"/>
      <c r="BE45" s="567"/>
      <c r="BF45" s="567"/>
      <c r="BG45" s="567"/>
      <c r="BH45" s="567"/>
      <c r="BI45" s="552">
        <v>0</v>
      </c>
    </row>
    <row customHeight="1" ht="22.049999999999997">
      <c r="A46" s="1419" t="s">
        <v>393</v>
      </c>
      <c r="B46" s="1419"/>
      <c r="C46" s="1419"/>
      <c r="D46" s="1419"/>
      <c r="E46" s="2314">
        <v>1</v>
      </c>
      <c r="F46" s="1419"/>
      <c r="G46" s="1419"/>
      <c r="H46" s="1419"/>
      <c r="I46" s="1419"/>
      <c r="J46" s="1419"/>
      <c r="K46" s="1419"/>
      <c r="L46" s="1420"/>
      <c r="M46" s="1421"/>
      <c r="N46" s="1421"/>
      <c r="O46" s="1421"/>
      <c r="P46" s="1465"/>
      <c r="Q46" s="929"/>
      <c r="R46" s="411"/>
      <c r="S46" s="1549">
        <f>INDEX(PT_DIFFERENTIATION_NUM_NTAR,MATCH(A46,PT_DIFFERENTIATION_NTAR_ID,0))</f>
        <v>0</v>
      </c>
      <c r="T46" s="354" t="s">
        <v>202</v>
      </c>
      <c r="U46" s="356"/>
      <c r="V46" s="2299"/>
      <c r="W46" s="2299"/>
      <c r="X46" s="2299"/>
      <c r="Y46" s="2299"/>
      <c r="Z46" s="2299"/>
      <c r="AA46" s="2299"/>
      <c r="AB46" s="2299"/>
      <c r="AC46" s="2300"/>
      <c r="AD46" s="2298" t="str">
        <f>INDEX(PT_DIFFERENTIATION_NTAR,MATCH(A46,PT_DIFFERENTIATION_NTAR_ID,0))</f>
        <v/>
      </c>
      <c r="AE46" s="2299"/>
      <c r="AF46" s="2299"/>
      <c r="AG46" s="2299"/>
      <c r="AH46" s="2299"/>
      <c r="AI46" s="2299"/>
      <c r="AJ46" s="2299"/>
      <c r="AK46" s="2299"/>
      <c r="AL46" s="2299"/>
      <c r="AM46" s="2299"/>
      <c r="AN46" s="2299"/>
      <c r="AO46" s="2299"/>
      <c r="AP46" s="2299"/>
      <c r="AQ46" s="2299"/>
      <c r="AR46" s="2299"/>
      <c r="AS46" s="2299"/>
      <c r="AT46" s="2299"/>
      <c r="AU46" s="2299"/>
      <c r="AV46" s="2299"/>
      <c r="AW46" s="2299"/>
      <c r="AX46" s="2299"/>
      <c r="AY46" s="2299"/>
      <c r="AZ46" s="2299"/>
      <c r="BA46" s="2299"/>
      <c r="BB46" s="2300"/>
      <c r="BC46" s="131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56"/>
      <c r="BF46" s="556" t="str">
        <f>IF(T46="","",T46)</f>
        <v>Наименование тарифа</v>
      </c>
      <c r="BG46" s="556"/>
      <c r="BH46" s="556"/>
      <c r="BI46" s="1211">
        <v>21</v>
      </c>
    </row>
    <row customHeight="1" ht="22.049999999999997">
      <c r="A47" s="1419" t="s">
        <v>393</v>
      </c>
      <c r="B47" s="1419" t="s">
        <v>394</v>
      </c>
      <c r="C47" s="1419"/>
      <c r="D47" s="1419"/>
      <c r="E47" s="2315"/>
      <c r="F47" s="2314">
        <v>1</v>
      </c>
      <c r="G47" s="1419"/>
      <c r="H47" s="1419"/>
      <c r="I47" s="1419"/>
      <c r="J47" s="1419"/>
      <c r="K47" s="1419"/>
      <c r="L47" s="1420"/>
      <c r="M47" s="1421"/>
      <c r="N47" s="1421"/>
      <c r="O47" s="1421"/>
      <c r="P47" s="1466"/>
      <c r="Q47" s="1467"/>
      <c r="R47" s="409"/>
      <c r="S47" s="1549" t="str">
        <f>INDEX(PT_DIFFERENTIATION_NUM_TER,MATCH(B47,PT_DIFFERENTIATION_TER_ID,0))</f>
        <v>.</v>
      </c>
      <c r="T47" s="364" t="s">
        <v>529</v>
      </c>
      <c r="U47" s="356"/>
      <c r="V47" s="2299"/>
      <c r="W47" s="2299"/>
      <c r="X47" s="2299"/>
      <c r="Y47" s="2299"/>
      <c r="Z47" s="2299"/>
      <c r="AA47" s="2299"/>
      <c r="AB47" s="2299"/>
      <c r="AC47" s="2300"/>
      <c r="AD47" s="2298" t="str">
        <f>INDEX(PT_DIFFERENTIATION_TER,MATCH(B47,PT_DIFFERENTIATION_TER_ID,0))</f>
        <v/>
      </c>
      <c r="AE47" s="2299"/>
      <c r="AF47" s="2299"/>
      <c r="AG47" s="2299"/>
      <c r="AH47" s="2299"/>
      <c r="AI47" s="2299"/>
      <c r="AJ47" s="2299"/>
      <c r="AK47" s="2299"/>
      <c r="AL47" s="2299"/>
      <c r="AM47" s="2299"/>
      <c r="AN47" s="2299"/>
      <c r="AO47" s="2299"/>
      <c r="AP47" s="2299"/>
      <c r="AQ47" s="2299"/>
      <c r="AR47" s="2299"/>
      <c r="AS47" s="2299"/>
      <c r="AT47" s="2299"/>
      <c r="AU47" s="2299"/>
      <c r="AV47" s="2299"/>
      <c r="AW47" s="2299"/>
      <c r="AX47" s="2299"/>
      <c r="AY47" s="2299"/>
      <c r="AZ47" s="2299"/>
      <c r="BA47" s="2299"/>
      <c r="BB47" s="2300"/>
      <c r="BC47" s="1314" t="s">
        <v>530</v>
      </c>
      <c r="BE47" s="556"/>
      <c r="BF47" s="556" t="str">
        <f>IF(T47="","",T47)</f>
        <v>Территория действия тарифа</v>
      </c>
      <c r="BG47" s="556"/>
      <c r="BH47" s="556"/>
      <c r="BI47" s="1211">
        <v>21</v>
      </c>
    </row>
    <row customHeight="1" ht="35.699999999999996">
      <c r="A48" s="1419" t="s">
        <v>393</v>
      </c>
      <c r="B48" s="1419" t="s">
        <v>394</v>
      </c>
      <c r="C48" s="1419" t="s">
        <v>395</v>
      </c>
      <c r="D48" s="1419"/>
      <c r="E48" s="2315"/>
      <c r="F48" s="2315"/>
      <c r="G48" s="2314">
        <v>1</v>
      </c>
      <c r="H48" s="1419"/>
      <c r="I48" s="1419"/>
      <c r="J48" s="1419"/>
      <c r="K48" s="1419"/>
      <c r="L48" s="1420"/>
      <c r="M48" s="1421"/>
      <c r="N48" s="1421"/>
      <c r="O48" s="1421"/>
      <c r="P48" s="1468"/>
      <c r="Q48" s="1467"/>
      <c r="R48" s="409"/>
      <c r="S48" s="1549" t="str">
        <f>INDEX(PT_DIFFERENTIATION_NUM_CS,MATCH(C48,PT_DIFFERENTIATION_CS_ID,0))</f>
        <v>..</v>
      </c>
      <c r="T48" s="365" t="s">
        <v>663</v>
      </c>
      <c r="U48" s="356"/>
      <c r="V48" s="2299"/>
      <c r="W48" s="2299"/>
      <c r="X48" s="2299"/>
      <c r="Y48" s="2299"/>
      <c r="Z48" s="2299"/>
      <c r="AA48" s="2299"/>
      <c r="AB48" s="2299"/>
      <c r="AC48" s="2300"/>
      <c r="AD48" s="2298" t="str">
        <f>INDEX(PT_DIFFERENTIATION_CS,MATCH(C48,PT_DIFFERENTIATION_CS_ID,0))</f>
        <v/>
      </c>
      <c r="AE48" s="2299"/>
      <c r="AF48" s="2299"/>
      <c r="AG48" s="2299"/>
      <c r="AH48" s="2299"/>
      <c r="AI48" s="2299"/>
      <c r="AJ48" s="2299"/>
      <c r="AK48" s="2299"/>
      <c r="AL48" s="2299"/>
      <c r="AM48" s="2299"/>
      <c r="AN48" s="2299"/>
      <c r="AO48" s="2299"/>
      <c r="AP48" s="2299"/>
      <c r="AQ48" s="2299"/>
      <c r="AR48" s="2299"/>
      <c r="AS48" s="2299"/>
      <c r="AT48" s="2299"/>
      <c r="AU48" s="2299"/>
      <c r="AV48" s="2299"/>
      <c r="AW48" s="2299"/>
      <c r="AX48" s="2299"/>
      <c r="AY48" s="2299"/>
      <c r="AZ48" s="2299"/>
      <c r="BA48" s="2299"/>
      <c r="BB48" s="2300"/>
      <c r="BC48" s="1314" t="s">
        <v>664</v>
      </c>
      <c r="BE48" s="556"/>
      <c r="BF48" s="556" t="str">
        <f>IF(T48="","",T48)</f>
        <v>Наименование централизованной системы горячего водоснабжения</v>
      </c>
      <c r="BG48" s="556"/>
      <c r="BH48" s="556"/>
      <c r="BI48" s="1211">
        <v>34</v>
      </c>
    </row>
    <row s="2851" customFormat="1" customHeight="1" ht="0">
      <c r="A49" s="1399" t="s">
        <v>393</v>
      </c>
      <c r="B49" s="1399" t="s">
        <v>394</v>
      </c>
      <c r="C49" s="1399" t="s">
        <v>395</v>
      </c>
      <c r="D49" s="1399" t="s">
        <v>677</v>
      </c>
      <c r="E49" s="2315"/>
      <c r="F49" s="2315"/>
      <c r="G49" s="2315"/>
      <c r="H49" s="2314">
        <v>1</v>
      </c>
      <c r="I49" s="1399"/>
      <c r="J49" s="1399"/>
      <c r="K49" s="1399"/>
      <c r="L49" s="1402"/>
      <c r="M49" s="1371"/>
      <c r="N49" s="1371"/>
      <c r="O49" s="1371"/>
      <c r="P49" s="1553"/>
      <c r="Q49" s="1554"/>
      <c r="R49" s="413"/>
      <c r="S49" s="1098"/>
      <c r="T49" s="1555"/>
      <c r="U49" s="1440"/>
      <c r="V49" s="2353"/>
      <c r="W49" s="2353"/>
      <c r="X49" s="2353"/>
      <c r="Y49" s="2353"/>
      <c r="Z49" s="2353"/>
      <c r="AA49" s="2353"/>
      <c r="AB49" s="2353"/>
      <c r="AC49" s="2354"/>
      <c r="AD49" s="2352"/>
      <c r="AE49" s="2353"/>
      <c r="AF49" s="2353"/>
      <c r="AG49" s="2353"/>
      <c r="AH49" s="2353"/>
      <c r="AI49" s="2353"/>
      <c r="AJ49" s="2353"/>
      <c r="AK49" s="2353"/>
      <c r="AL49" s="2353"/>
      <c r="AM49" s="2353"/>
      <c r="AN49" s="2353"/>
      <c r="AO49" s="2353"/>
      <c r="AP49" s="2353"/>
      <c r="AQ49" s="2353"/>
      <c r="AR49" s="2353"/>
      <c r="AS49" s="2353"/>
      <c r="AT49" s="2353"/>
      <c r="AU49" s="2353"/>
      <c r="AV49" s="2353"/>
      <c r="AW49" s="2353"/>
      <c r="AX49" s="2353"/>
      <c r="AY49" s="2353"/>
      <c r="AZ49" s="2353"/>
      <c r="BA49" s="2353"/>
      <c r="BB49" s="2354"/>
      <c r="BC49" s="1441" t="s">
        <v>534</v>
      </c>
      <c r="BE49" s="556"/>
      <c r="BF49" s="556" t="str">
        <f>IF(T49="","",T49)</f>
        <v/>
      </c>
      <c r="BG49" s="556"/>
      <c r="BH49" s="556"/>
      <c r="BI49" s="567">
        <v>0</v>
      </c>
    </row>
    <row s="2851" customFormat="1" customHeight="1" ht="0">
      <c r="A50" s="1399" t="s">
        <v>393</v>
      </c>
      <c r="B50" s="1399" t="s">
        <v>394</v>
      </c>
      <c r="C50" s="1399" t="s">
        <v>395</v>
      </c>
      <c r="D50" s="1399" t="s">
        <v>677</v>
      </c>
      <c r="E50" s="2315"/>
      <c r="F50" s="2315"/>
      <c r="G50" s="2315"/>
      <c r="H50" s="2315"/>
      <c r="I50" s="2312" t="str">
        <f>S49&amp;".1"</f>
        <v>.1</v>
      </c>
      <c r="J50" s="1399"/>
      <c r="K50" s="1399"/>
      <c r="L50" s="1402" t="s">
        <v>535</v>
      </c>
      <c r="M50" s="566"/>
      <c r="N50" s="566"/>
      <c r="O50" s="566"/>
      <c r="P50" s="2313">
        <v>1</v>
      </c>
      <c r="Q50" s="1537"/>
      <c r="R50" s="412"/>
      <c r="S50" s="1098"/>
      <c r="T50" s="1439"/>
      <c r="U50" s="1440"/>
      <c r="V50" s="2353"/>
      <c r="W50" s="2353"/>
      <c r="X50" s="2353"/>
      <c r="Y50" s="2353"/>
      <c r="Z50" s="2353"/>
      <c r="AA50" s="2353"/>
      <c r="AB50" s="2353"/>
      <c r="AC50" s="2354"/>
      <c r="AD50" s="2352"/>
      <c r="AE50" s="2353"/>
      <c r="AF50" s="2353"/>
      <c r="AG50" s="2353"/>
      <c r="AH50" s="2353"/>
      <c r="AI50" s="2353"/>
      <c r="AJ50" s="2353"/>
      <c r="AK50" s="2353"/>
      <c r="AL50" s="2353"/>
      <c r="AM50" s="2353"/>
      <c r="AN50" s="2353"/>
      <c r="AO50" s="2353"/>
      <c r="AP50" s="2353"/>
      <c r="AQ50" s="2353"/>
      <c r="AR50" s="2353"/>
      <c r="AS50" s="2353"/>
      <c r="AT50" s="2353"/>
      <c r="AU50" s="2353"/>
      <c r="AV50" s="2353"/>
      <c r="AW50" s="2353"/>
      <c r="AX50" s="2353"/>
      <c r="AY50" s="2353"/>
      <c r="AZ50" s="2353"/>
      <c r="BA50" s="2353"/>
      <c r="BB50" s="2354"/>
      <c r="BC50" s="1441"/>
      <c r="BE50" s="556"/>
      <c r="BF50" s="556" t="str">
        <f>IF(T50="","",T50)</f>
        <v/>
      </c>
      <c r="BG50" s="556"/>
      <c r="BH50" s="556"/>
      <c r="BI50" s="567">
        <v>0</v>
      </c>
    </row>
    <row s="2851" customFormat="1" customHeight="1" ht="0">
      <c r="A51" s="1399" t="s">
        <v>393</v>
      </c>
      <c r="B51" s="1399" t="s">
        <v>394</v>
      </c>
      <c r="C51" s="1399" t="s">
        <v>395</v>
      </c>
      <c r="D51" s="1399" t="s">
        <v>677</v>
      </c>
      <c r="E51" s="2315"/>
      <c r="F51" s="2315"/>
      <c r="G51" s="2315"/>
      <c r="H51" s="2315"/>
      <c r="I51" s="2342"/>
      <c r="J51" s="2312" t="str">
        <f>S49&amp;".1"</f>
        <v>.1</v>
      </c>
      <c r="K51" s="1399"/>
      <c r="L51" s="1402"/>
      <c r="M51" s="566"/>
      <c r="N51" s="566"/>
      <c r="O51" s="566"/>
      <c r="P51" s="2313"/>
      <c r="Q51" s="2313">
        <v>1</v>
      </c>
      <c r="R51" s="413"/>
      <c r="S51" s="1098"/>
      <c r="T51" s="1455"/>
      <c r="U51" s="1440"/>
      <c r="V51" s="2353"/>
      <c r="W51" s="2353"/>
      <c r="X51" s="2353"/>
      <c r="Y51" s="2353"/>
      <c r="Z51" s="2353"/>
      <c r="AA51" s="2353"/>
      <c r="AB51" s="2353"/>
      <c r="AC51" s="2354"/>
      <c r="AD51" s="2352"/>
      <c r="AE51" s="2353"/>
      <c r="AF51" s="2353"/>
      <c r="AG51" s="2353"/>
      <c r="AH51" s="2353"/>
      <c r="AI51" s="2353"/>
      <c r="AJ51" s="2353"/>
      <c r="AK51" s="2353"/>
      <c r="AL51" s="2353"/>
      <c r="AM51" s="2353"/>
      <c r="AN51" s="2420"/>
      <c r="AO51" s="2420"/>
      <c r="AP51" s="2353"/>
      <c r="AQ51" s="2353"/>
      <c r="AR51" s="2353"/>
      <c r="AS51" s="2353"/>
      <c r="AT51" s="2353"/>
      <c r="AU51" s="2353"/>
      <c r="AV51" s="2353"/>
      <c r="AW51" s="2353"/>
      <c r="AX51" s="2353"/>
      <c r="AY51" s="2353"/>
      <c r="AZ51" s="2353"/>
      <c r="BA51" s="2353"/>
      <c r="BB51" s="2354"/>
      <c r="BC51" s="1441"/>
      <c r="BE51" s="556"/>
      <c r="BF51" s="556" t="str">
        <f>IF(T51="","",T51)</f>
        <v/>
      </c>
      <c r="BG51" s="556"/>
      <c r="BH51" s="556"/>
      <c r="BI51" s="567">
        <v>0</v>
      </c>
    </row>
    <row customHeight="1" ht="11.549999999999999">
      <c r="A52" s="1419" t="s">
        <v>393</v>
      </c>
      <c r="B52" s="1419" t="s">
        <v>394</v>
      </c>
      <c r="C52" s="1419" t="s">
        <v>395</v>
      </c>
      <c r="D52" s="1419" t="s">
        <v>677</v>
      </c>
      <c r="E52" s="2315"/>
      <c r="F52" s="2315"/>
      <c r="G52" s="2315"/>
      <c r="H52" s="2315"/>
      <c r="I52" s="2342"/>
      <c r="J52" s="2342"/>
      <c r="K52" s="2312" t="str">
        <f>S48&amp;".1"</f>
        <v>...1</v>
      </c>
      <c r="L52" s="1420"/>
      <c r="P52" s="2313"/>
      <c r="Q52" s="2313"/>
      <c r="R52" s="413">
        <v>1</v>
      </c>
      <c r="S52" s="2397" t="str">
        <f>$K52</f>
        <v>...1</v>
      </c>
      <c r="T52" s="2416"/>
      <c r="U52" s="356"/>
      <c r="V52" s="807"/>
      <c r="W52" s="1313"/>
      <c r="X52" s="807"/>
      <c r="Y52" s="1313"/>
      <c r="Z52" s="1790"/>
      <c r="AA52" s="1525" t="s">
        <v>65</v>
      </c>
      <c r="AB52" s="1790"/>
      <c r="AC52" s="1525" t="s">
        <v>65</v>
      </c>
      <c r="AD52" s="2241" t="s">
        <v>65</v>
      </c>
      <c r="AE52" s="2382"/>
      <c r="AF52" s="2261">
        <v>1</v>
      </c>
      <c r="AG52" s="2419"/>
      <c r="AH52" s="2163" t="s">
        <v>65</v>
      </c>
      <c r="AI52" s="2382"/>
      <c r="AJ52" s="2261">
        <v>1</v>
      </c>
      <c r="AK52" s="2383" t="s">
        <v>28</v>
      </c>
      <c r="AL52" s="2163" t="s">
        <v>65</v>
      </c>
      <c r="AM52" s="2248"/>
      <c r="AN52" s="2261">
        <v>1</v>
      </c>
      <c r="AO52" s="2413"/>
      <c r="AP52" s="2414" t="s">
        <v>65</v>
      </c>
      <c r="AQ52" s="367"/>
      <c r="AR52" s="1542">
        <v>1</v>
      </c>
      <c r="AS52" s="1548" t="s">
        <v>28</v>
      </c>
      <c r="AT52" s="807"/>
      <c r="AU52" s="1313"/>
      <c r="AV52" s="807"/>
      <c r="AW52" s="1313"/>
      <c r="AX52" s="1790"/>
      <c r="AY52" s="1525" t="s">
        <v>65</v>
      </c>
      <c r="AZ52" s="1790"/>
      <c r="BA52" s="1525" t="s">
        <v>65</v>
      </c>
      <c r="BB52" s="1404"/>
      <c r="BC52" s="2309" t="s">
        <v>634</v>
      </c>
      <c r="BE52" s="556"/>
      <c r="BF52" s="556" t="str">
        <f>IF(T52="","",T52)</f>
        <v/>
      </c>
      <c r="BG52" s="556"/>
      <c r="BH52" s="556"/>
      <c r="BI52" s="1211">
        <v>11</v>
      </c>
    </row>
    <row customHeight="1" ht="11.549999999999999">
      <c r="A53" s="1419"/>
      <c r="B53" s="1419"/>
      <c r="C53" s="1419"/>
      <c r="D53" s="1419"/>
      <c r="E53" s="2315"/>
      <c r="F53" s="2315"/>
      <c r="G53" s="2315"/>
      <c r="H53" s="2315"/>
      <c r="I53" s="2342"/>
      <c r="J53" s="2342"/>
      <c r="K53" s="2312"/>
      <c r="L53" s="1420"/>
      <c r="P53" s="2313"/>
      <c r="Q53" s="2313"/>
      <c r="R53" s="413"/>
      <c r="S53" s="2398"/>
      <c r="T53" s="2417"/>
      <c r="U53" s="356"/>
      <c r="V53" s="1449"/>
      <c r="W53" s="1552"/>
      <c r="X53" s="1449"/>
      <c r="Y53" s="1552"/>
      <c r="Z53" s="1449"/>
      <c r="AA53" s="1449"/>
      <c r="AB53" s="1449"/>
      <c r="AC53" s="1449"/>
      <c r="AD53" s="2242"/>
      <c r="AE53" s="2382"/>
      <c r="AF53" s="2261"/>
      <c r="AG53" s="2419"/>
      <c r="AH53" s="2163"/>
      <c r="AI53" s="2382"/>
      <c r="AJ53" s="2261"/>
      <c r="AK53" s="2383"/>
      <c r="AL53" s="2163"/>
      <c r="AM53" s="2256"/>
      <c r="AN53" s="2261"/>
      <c r="AO53" s="2413"/>
      <c r="AP53" s="2415"/>
      <c r="AQ53" s="372"/>
      <c r="AR53" s="472"/>
      <c r="AS53" s="472" t="s">
        <v>635</v>
      </c>
      <c r="AT53" s="1449"/>
      <c r="AU53" s="1552"/>
      <c r="AV53" s="1449"/>
      <c r="AW53" s="1552"/>
      <c r="AX53" s="1449"/>
      <c r="AY53" s="1449"/>
      <c r="AZ53" s="1449"/>
      <c r="BA53" s="1449"/>
      <c r="BB53" s="1453"/>
      <c r="BC53" s="2310"/>
      <c r="BE53" s="556"/>
      <c r="BF53" s="556"/>
      <c r="BG53" s="556"/>
      <c r="BH53" s="556"/>
      <c r="BI53" s="1211">
        <v>11</v>
      </c>
    </row>
    <row customHeight="1" ht="11.549999999999999">
      <c r="A54" s="1419" t="s">
        <v>393</v>
      </c>
      <c r="B54" s="1419"/>
      <c r="C54" s="1419"/>
      <c r="D54" s="1419"/>
      <c r="E54" s="2315"/>
      <c r="F54" s="2315"/>
      <c r="G54" s="2315"/>
      <c r="H54" s="2315"/>
      <c r="I54" s="2342"/>
      <c r="J54" s="2342"/>
      <c r="K54" s="2312"/>
      <c r="L54" s="1420"/>
      <c r="P54" s="2313"/>
      <c r="Q54" s="2313"/>
      <c r="R54" s="413"/>
      <c r="S54" s="2398"/>
      <c r="T54" s="2417"/>
      <c r="U54" s="356"/>
      <c r="V54" s="1449"/>
      <c r="W54" s="1552"/>
      <c r="X54" s="1449"/>
      <c r="Y54" s="1552"/>
      <c r="Z54" s="1449"/>
      <c r="AA54" s="1449"/>
      <c r="AB54" s="1449"/>
      <c r="AC54" s="1449"/>
      <c r="AD54" s="2242"/>
      <c r="AE54" s="2382"/>
      <c r="AF54" s="2261"/>
      <c r="AG54" s="2419"/>
      <c r="AH54" s="2163"/>
      <c r="AI54" s="2382"/>
      <c r="AJ54" s="2261"/>
      <c r="AK54" s="2383"/>
      <c r="AL54" s="2163"/>
      <c r="AM54" s="372"/>
      <c r="AN54" s="1556"/>
      <c r="AO54" s="1556" t="s">
        <v>636</v>
      </c>
      <c r="AP54" s="472"/>
      <c r="AQ54" s="472"/>
      <c r="AR54" s="472"/>
      <c r="AS54" s="1449"/>
      <c r="AT54" s="1449"/>
      <c r="AU54" s="1552"/>
      <c r="AV54" s="1449"/>
      <c r="AW54" s="1552"/>
      <c r="AX54" s="1449"/>
      <c r="AY54" s="1449"/>
      <c r="AZ54" s="1449"/>
      <c r="BA54" s="1449"/>
      <c r="BB54" s="1453"/>
      <c r="BC54" s="2310"/>
      <c r="BE54" s="556"/>
      <c r="BF54" s="556"/>
      <c r="BG54" s="556"/>
      <c r="BH54" s="556"/>
      <c r="BI54" s="1211">
        <v>11</v>
      </c>
    </row>
    <row customHeight="1" ht="11.549999999999999">
      <c r="A55" s="1419" t="s">
        <v>393</v>
      </c>
      <c r="B55" s="1419"/>
      <c r="C55" s="1419"/>
      <c r="D55" s="1419"/>
      <c r="E55" s="2315"/>
      <c r="F55" s="2315"/>
      <c r="G55" s="2315"/>
      <c r="H55" s="2315"/>
      <c r="I55" s="2342"/>
      <c r="J55" s="2342"/>
      <c r="K55" s="2312"/>
      <c r="L55" s="1420"/>
      <c r="P55" s="2313"/>
      <c r="Q55" s="2313"/>
      <c r="R55" s="413"/>
      <c r="S55" s="2398"/>
      <c r="T55" s="2417"/>
      <c r="U55" s="356"/>
      <c r="V55" s="1449"/>
      <c r="W55" s="1552"/>
      <c r="X55" s="1449"/>
      <c r="Y55" s="1552"/>
      <c r="Z55" s="1449"/>
      <c r="AA55" s="1449"/>
      <c r="AB55" s="1449"/>
      <c r="AC55" s="1449"/>
      <c r="AD55" s="2242"/>
      <c r="AE55" s="2382"/>
      <c r="AF55" s="2261"/>
      <c r="AG55" s="2419"/>
      <c r="AH55" s="2163"/>
      <c r="AI55" s="350"/>
      <c r="AJ55" s="471"/>
      <c r="AK55" s="369" t="s">
        <v>637</v>
      </c>
      <c r="AL55" s="1449"/>
      <c r="AM55" s="1449"/>
      <c r="AN55" s="1449"/>
      <c r="AO55" s="1449"/>
      <c r="AP55" s="1449"/>
      <c r="AQ55" s="1449"/>
      <c r="AR55" s="1449"/>
      <c r="AS55" s="1449"/>
      <c r="AT55" s="1449"/>
      <c r="AU55" s="1552"/>
      <c r="AV55" s="1449"/>
      <c r="AW55" s="1552"/>
      <c r="AX55" s="1449"/>
      <c r="AY55" s="1449"/>
      <c r="AZ55" s="1449"/>
      <c r="BA55" s="1449"/>
      <c r="BB55" s="1453"/>
      <c r="BC55" s="2310"/>
      <c r="BE55" s="556"/>
      <c r="BF55" s="556"/>
      <c r="BG55" s="556"/>
      <c r="BH55" s="556"/>
      <c r="BI55" s="1211">
        <v>11</v>
      </c>
    </row>
    <row customHeight="1" ht="11.549999999999999">
      <c r="A56" s="1419" t="s">
        <v>393</v>
      </c>
      <c r="B56" s="1419" t="s">
        <v>394</v>
      </c>
      <c r="C56" s="1419" t="s">
        <v>395</v>
      </c>
      <c r="D56" s="1419" t="s">
        <v>677</v>
      </c>
      <c r="E56" s="2315"/>
      <c r="F56" s="2315"/>
      <c r="G56" s="2315"/>
      <c r="H56" s="2315"/>
      <c r="I56" s="2342"/>
      <c r="J56" s="2342"/>
      <c r="K56" s="2312"/>
      <c r="L56" s="1420"/>
      <c r="P56" s="2313"/>
      <c r="Q56" s="2313"/>
      <c r="R56" s="413"/>
      <c r="S56" s="2399"/>
      <c r="T56" s="2418"/>
      <c r="U56" s="356"/>
      <c r="V56" s="1449"/>
      <c r="W56" s="1450" t="str">
        <f>Z52&amp;"-"&amp;AB52</f>
        <v>-</v>
      </c>
      <c r="X56" s="1449"/>
      <c r="Y56" s="1450" t="str">
        <f>AB52&amp;"-"&amp;AD52</f>
        <v>-да</v>
      </c>
      <c r="Z56" s="1449"/>
      <c r="AA56" s="1449"/>
      <c r="AB56" s="1449"/>
      <c r="AC56" s="1449"/>
      <c r="AD56" s="2168"/>
      <c r="AE56" s="368"/>
      <c r="AF56" s="370"/>
      <c r="AG56" s="472" t="s">
        <v>638</v>
      </c>
      <c r="AH56" s="1449"/>
      <c r="AI56" s="1449"/>
      <c r="AJ56" s="1449"/>
      <c r="AK56" s="1449"/>
      <c r="AL56" s="1449"/>
      <c r="AM56" s="1449"/>
      <c r="AN56" s="1449"/>
      <c r="AO56" s="1449"/>
      <c r="AP56" s="1449"/>
      <c r="AQ56" s="1449"/>
      <c r="AR56" s="1449"/>
      <c r="AS56" s="1449"/>
      <c r="AT56" s="1449"/>
      <c r="AU56" s="1450" t="str">
        <f>AX52&amp;"-"&amp;AZ52</f>
        <v>-</v>
      </c>
      <c r="AV56" s="1449"/>
      <c r="AW56" s="1450" t="str">
        <f>AZ52&amp;"-"&amp;BB52</f>
        <v>-</v>
      </c>
      <c r="AX56" s="1449"/>
      <c r="AY56" s="1449"/>
      <c r="AZ56" s="1449"/>
      <c r="BA56" s="1449"/>
      <c r="BB56" s="1452" t="str">
        <f>BE52&amp;"-"&amp;BG52</f>
        <v>-</v>
      </c>
      <c r="BC56" s="2310"/>
      <c r="BE56" s="556"/>
      <c r="BF56" s="556" t="str">
        <f>IF(T56="","",T56)</f>
        <v/>
      </c>
      <c r="BG56" s="556"/>
      <c r="BH56" s="556"/>
      <c r="BI56" s="1211">
        <v>11</v>
      </c>
    </row>
    <row customHeight="1" ht="11.549999999999999">
      <c r="A57" s="1419" t="s">
        <v>393</v>
      </c>
      <c r="B57" s="1419" t="s">
        <v>394</v>
      </c>
      <c r="C57" s="1419" t="s">
        <v>395</v>
      </c>
      <c r="D57" s="1419" t="s">
        <v>677</v>
      </c>
      <c r="E57" s="2315"/>
      <c r="F57" s="2315"/>
      <c r="G57" s="2315"/>
      <c r="H57" s="2315"/>
      <c r="I57" s="2342"/>
      <c r="J57" s="2312"/>
      <c r="K57" s="1419"/>
      <c r="L57" s="1420"/>
      <c r="P57" s="2313"/>
      <c r="Q57" s="2313"/>
      <c r="R57" s="412"/>
      <c r="S57" s="1334"/>
      <c r="T57" s="343" t="s">
        <v>597</v>
      </c>
      <c r="U57" s="423"/>
      <c r="V57" s="423"/>
      <c r="W57" s="423"/>
      <c r="X57" s="423"/>
      <c r="Y57" s="423"/>
      <c r="Z57" s="423"/>
      <c r="AA57" s="423"/>
      <c r="AB57" s="423"/>
      <c r="AC57" s="380"/>
      <c r="AD57" s="1561"/>
      <c r="AE57" s="423"/>
      <c r="AF57" s="423"/>
      <c r="AG57" s="423"/>
      <c r="AH57" s="423"/>
      <c r="AI57" s="423"/>
      <c r="AJ57" s="423"/>
      <c r="AK57" s="423"/>
      <c r="AL57" s="423"/>
      <c r="AM57" s="423"/>
      <c r="AN57" s="423"/>
      <c r="AO57" s="423"/>
      <c r="AP57" s="423"/>
      <c r="AQ57" s="423"/>
      <c r="AR57" s="423"/>
      <c r="AS57" s="423"/>
      <c r="AT57" s="423"/>
      <c r="AU57" s="423"/>
      <c r="AV57" s="423"/>
      <c r="AW57" s="423"/>
      <c r="AX57" s="423"/>
      <c r="AY57" s="423"/>
      <c r="AZ57" s="423"/>
      <c r="BA57" s="423"/>
      <c r="BB57" s="380"/>
      <c r="BC57" s="2311"/>
      <c r="BE57" s="556"/>
      <c r="BF57" s="556" t="str">
        <f>IF(T57="","",T57)</f>
        <v>Добавить строку</v>
      </c>
      <c r="BG57" s="556"/>
      <c r="BH57" s="556"/>
      <c r="BI57" s="1211">
        <v>11</v>
      </c>
    </row>
    <row s="2851" customFormat="1" customHeight="1" ht="0">
      <c r="A58" s="1399" t="s">
        <v>393</v>
      </c>
      <c r="B58" s="1399" t="s">
        <v>394</v>
      </c>
      <c r="C58" s="1399" t="s">
        <v>395</v>
      </c>
      <c r="D58" s="1399" t="s">
        <v>677</v>
      </c>
      <c r="E58" s="2315"/>
      <c r="F58" s="2315"/>
      <c r="G58" s="2315"/>
      <c r="H58" s="2315"/>
      <c r="I58" s="2312"/>
      <c r="J58" s="1399"/>
      <c r="K58" s="1399"/>
      <c r="L58" s="1402"/>
      <c r="M58" s="566"/>
      <c r="N58" s="566"/>
      <c r="O58" s="566"/>
      <c r="P58" s="2313"/>
      <c r="Q58" s="1537"/>
      <c r="R58" s="412"/>
      <c r="S58" s="1442"/>
      <c r="T58" s="1443"/>
      <c r="U58" s="1444"/>
      <c r="V58" s="1444"/>
      <c r="W58" s="1444"/>
      <c r="X58" s="1444"/>
      <c r="Y58" s="1444"/>
      <c r="Z58" s="1444"/>
      <c r="AA58" s="1444"/>
      <c r="AB58" s="1444"/>
      <c r="AC58" s="1444"/>
      <c r="AD58" s="1444"/>
      <c r="AE58" s="1444"/>
      <c r="AF58" s="1444"/>
      <c r="AG58" s="1444"/>
      <c r="AH58" s="1444"/>
      <c r="AI58" s="1444"/>
      <c r="AJ58" s="1444"/>
      <c r="AK58" s="1444"/>
      <c r="AL58" s="1444"/>
      <c r="AM58" s="1444"/>
      <c r="AN58" s="1444"/>
      <c r="AO58" s="1444"/>
      <c r="AP58" s="1444"/>
      <c r="AQ58" s="1444"/>
      <c r="AR58" s="1444"/>
      <c r="AS58" s="1444"/>
      <c r="AT58" s="1444"/>
      <c r="AU58" s="1444"/>
      <c r="AV58" s="1444"/>
      <c r="AW58" s="1444"/>
      <c r="AX58" s="1444"/>
      <c r="AY58" s="1444"/>
      <c r="AZ58" s="1444"/>
      <c r="BA58" s="1444"/>
      <c r="BB58" s="1444"/>
      <c r="BC58" s="1445"/>
      <c r="BE58" s="556"/>
      <c r="BF58" s="556" t="str">
        <f>IF(T58="","",T58)</f>
        <v/>
      </c>
      <c r="BG58" s="556"/>
      <c r="BH58" s="556"/>
      <c r="BI58" s="567">
        <v>0</v>
      </c>
    </row>
    <row s="2851" customFormat="1" customHeight="1" ht="0">
      <c r="A59" s="1399" t="s">
        <v>393</v>
      </c>
      <c r="B59" s="1399" t="s">
        <v>394</v>
      </c>
      <c r="C59" s="1399" t="s">
        <v>395</v>
      </c>
      <c r="D59" s="1399" t="s">
        <v>677</v>
      </c>
      <c r="E59" s="2315"/>
      <c r="F59" s="2315"/>
      <c r="G59" s="2315"/>
      <c r="H59" s="2314"/>
      <c r="I59" s="1399"/>
      <c r="J59" s="1399"/>
      <c r="K59" s="1399"/>
      <c r="L59" s="1402"/>
      <c r="M59" s="1371"/>
      <c r="N59" s="1371"/>
      <c r="O59" s="574"/>
      <c r="P59" s="436"/>
      <c r="Q59" s="1400"/>
      <c r="R59" s="1457"/>
      <c r="S59" s="1442"/>
      <c r="T59" s="1443"/>
      <c r="U59" s="1444"/>
      <c r="V59" s="1444"/>
      <c r="W59" s="1444"/>
      <c r="X59" s="1444"/>
      <c r="Y59" s="1444"/>
      <c r="Z59" s="1444"/>
      <c r="AA59" s="1444"/>
      <c r="AB59" s="1444"/>
      <c r="AC59" s="1444"/>
      <c r="AD59" s="1444"/>
      <c r="AE59" s="1444"/>
      <c r="AF59" s="1444"/>
      <c r="AG59" s="1444"/>
      <c r="AH59" s="1444"/>
      <c r="AI59" s="1444"/>
      <c r="AJ59" s="1444"/>
      <c r="AK59" s="1444"/>
      <c r="AL59" s="1444"/>
      <c r="AM59" s="1444"/>
      <c r="AN59" s="1444"/>
      <c r="AO59" s="1444"/>
      <c r="AP59" s="1444"/>
      <c r="AQ59" s="1444"/>
      <c r="AR59" s="1444"/>
      <c r="AS59" s="1444"/>
      <c r="AT59" s="1444"/>
      <c r="AU59" s="1444"/>
      <c r="AV59" s="1444"/>
      <c r="AW59" s="1444"/>
      <c r="AX59" s="1444"/>
      <c r="AY59" s="1444"/>
      <c r="AZ59" s="1444"/>
      <c r="BA59" s="1444"/>
      <c r="BB59" s="1444"/>
      <c r="BC59" s="1445"/>
      <c r="BE59" s="556"/>
      <c r="BF59" s="556" t="str">
        <f>IF(T59="","",T59)</f>
        <v/>
      </c>
      <c r="BG59" s="556"/>
      <c r="BH59" s="556"/>
      <c r="BI59" s="567">
        <v>0</v>
      </c>
    </row>
    <row s="2851" customFormat="1" customHeight="1" ht="0">
      <c r="A60" s="1399" t="s">
        <v>393</v>
      </c>
      <c r="B60" s="1399" t="s">
        <v>394</v>
      </c>
      <c r="C60" s="1399" t="s">
        <v>395</v>
      </c>
      <c r="D60" s="1370"/>
      <c r="E60" s="2315"/>
      <c r="F60" s="2315"/>
      <c r="G60" s="2314"/>
      <c r="H60" s="1370"/>
      <c r="I60" s="1370"/>
      <c r="J60" s="1370"/>
      <c r="K60" s="1370"/>
      <c r="L60" s="1550"/>
      <c r="M60" s="1371"/>
      <c r="N60" s="1371"/>
      <c r="P60" s="1372"/>
      <c r="Q60" s="1373"/>
      <c r="R60" s="1372"/>
      <c r="S60" s="1378"/>
      <c r="T60" s="1381"/>
      <c r="U60" s="1380"/>
      <c r="V60" s="1380"/>
      <c r="W60" s="1380"/>
      <c r="X60" s="1380"/>
      <c r="Y60" s="1380"/>
      <c r="Z60" s="1380"/>
      <c r="AA60" s="1380"/>
      <c r="AB60" s="1380"/>
      <c r="AC60" s="1380"/>
      <c r="AD60" s="1380"/>
      <c r="AE60" s="1380"/>
      <c r="AF60" s="1380"/>
      <c r="AG60" s="1380"/>
      <c r="AH60" s="1380"/>
      <c r="AI60" s="1380"/>
      <c r="AJ60" s="1380"/>
      <c r="AK60" s="1380"/>
      <c r="AL60" s="1380"/>
      <c r="AM60" s="1380"/>
      <c r="AN60" s="1380"/>
      <c r="AO60" s="1380"/>
      <c r="AP60" s="1380"/>
      <c r="AQ60" s="1380"/>
      <c r="AR60" s="1380"/>
      <c r="AS60" s="1380"/>
      <c r="AT60" s="1380"/>
      <c r="AU60" s="1380"/>
      <c r="AV60" s="1380"/>
      <c r="AW60" s="1380"/>
      <c r="AX60" s="1380"/>
      <c r="AY60" s="1380"/>
      <c r="AZ60" s="1380"/>
      <c r="BA60" s="1380"/>
      <c r="BB60" s="1380"/>
      <c r="BC60" s="1380"/>
      <c r="BE60" s="845"/>
      <c r="BF60" s="845" t="str">
        <f>IF(T60="","",T60)</f>
        <v/>
      </c>
      <c r="BG60" s="845"/>
      <c r="BH60" s="845"/>
      <c r="BI60" s="574">
        <v>0</v>
      </c>
    </row>
    <row s="2851" customFormat="1" customHeight="1" ht="0">
      <c r="A61" s="1399" t="s">
        <v>393</v>
      </c>
      <c r="B61" s="1399" t="s">
        <v>394</v>
      </c>
      <c r="C61" s="1370"/>
      <c r="D61" s="1370"/>
      <c r="E61" s="2315"/>
      <c r="F61" s="2314"/>
      <c r="G61" s="1370"/>
      <c r="H61" s="1370"/>
      <c r="I61" s="1370"/>
      <c r="J61" s="1370"/>
      <c r="K61" s="1370"/>
      <c r="L61" s="1550"/>
      <c r="M61" s="1377"/>
      <c r="N61" s="1377"/>
      <c r="P61" s="1372"/>
      <c r="Q61" s="1373"/>
      <c r="R61" s="1372"/>
      <c r="S61" s="1378"/>
      <c r="T61" s="1381" t="s">
        <v>302</v>
      </c>
      <c r="U61" s="1380"/>
      <c r="V61" s="1380"/>
      <c r="W61" s="1380"/>
      <c r="X61" s="1380"/>
      <c r="Y61" s="1380"/>
      <c r="Z61" s="1380"/>
      <c r="AA61" s="1380"/>
      <c r="AB61" s="1380"/>
      <c r="AC61" s="1380"/>
      <c r="AD61" s="1380"/>
      <c r="AE61" s="1380"/>
      <c r="AF61" s="1380"/>
      <c r="AG61" s="1380"/>
      <c r="AH61" s="1380"/>
      <c r="AI61" s="1380"/>
      <c r="AJ61" s="1380"/>
      <c r="AK61" s="1380"/>
      <c r="AL61" s="1380"/>
      <c r="AM61" s="1380"/>
      <c r="AN61" s="1380"/>
      <c r="AO61" s="1380"/>
      <c r="AP61" s="1380"/>
      <c r="AQ61" s="1380"/>
      <c r="AR61" s="1380"/>
      <c r="AS61" s="1380"/>
      <c r="AT61" s="1380"/>
      <c r="AU61" s="1380"/>
      <c r="AV61" s="1380"/>
      <c r="AW61" s="1380"/>
      <c r="AX61" s="1380"/>
      <c r="AY61" s="1380"/>
      <c r="AZ61" s="1380"/>
      <c r="BA61" s="1380"/>
      <c r="BB61" s="1380"/>
      <c r="BC61" s="1380"/>
      <c r="BE61" s="845"/>
      <c r="BF61" s="845" t="str">
        <f>IF(T61="","",T61)</f>
        <v>Добавить централизованную систему для дифференциации</v>
      </c>
      <c r="BG61" s="845"/>
      <c r="BH61" s="845"/>
      <c r="BI61" s="574">
        <v>0</v>
      </c>
    </row>
    <row s="2851" customFormat="1" customHeight="1" ht="0">
      <c r="A62" s="1399" t="s">
        <v>393</v>
      </c>
      <c r="B62" s="1399"/>
      <c r="C62" s="1399"/>
      <c r="D62" s="1399"/>
      <c r="E62" s="2314"/>
      <c r="F62" s="1399"/>
      <c r="G62" s="1399"/>
      <c r="H62" s="1399"/>
      <c r="I62" s="1399"/>
      <c r="J62" s="1399"/>
      <c r="K62" s="1399"/>
      <c r="L62" s="1402"/>
      <c r="M62" s="1377"/>
      <c r="N62" s="1377"/>
      <c r="O62" s="574"/>
      <c r="P62" s="436"/>
      <c r="Q62" s="1400"/>
      <c r="R62" s="436"/>
      <c r="S62" s="1378"/>
      <c r="T62" s="1381" t="s">
        <v>359</v>
      </c>
      <c r="U62" s="1380"/>
      <c r="V62" s="1380"/>
      <c r="W62" s="1380"/>
      <c r="X62" s="1380"/>
      <c r="Y62" s="1380"/>
      <c r="Z62" s="1380"/>
      <c r="AA62" s="1380"/>
      <c r="AB62" s="1380"/>
      <c r="AC62" s="1380"/>
      <c r="AD62" s="1380"/>
      <c r="AE62" s="1380"/>
      <c r="AF62" s="1380"/>
      <c r="AG62" s="1380"/>
      <c r="AH62" s="1380"/>
      <c r="AI62" s="1380"/>
      <c r="AJ62" s="1380"/>
      <c r="AK62" s="1380"/>
      <c r="AL62" s="1380"/>
      <c r="AM62" s="1380"/>
      <c r="AN62" s="1380"/>
      <c r="AO62" s="1380"/>
      <c r="AP62" s="1380"/>
      <c r="AQ62" s="1380"/>
      <c r="AR62" s="1380"/>
      <c r="AS62" s="1380"/>
      <c r="AT62" s="1380"/>
      <c r="AU62" s="1380"/>
      <c r="AV62" s="1380"/>
      <c r="AW62" s="1380"/>
      <c r="AX62" s="1380"/>
      <c r="AY62" s="1380"/>
      <c r="AZ62" s="1380"/>
      <c r="BA62" s="1380"/>
      <c r="BB62" s="1380"/>
      <c r="BC62" s="1380"/>
      <c r="BE62" s="556"/>
      <c r="BF62" s="556" t="str">
        <f>IF(T62="","",T62)</f>
        <v>Добавить территорию для дифференциации</v>
      </c>
      <c r="BG62" s="556"/>
      <c r="BH62" s="556"/>
      <c r="BI62" s="567">
        <v>0</v>
      </c>
    </row>
    <row s="2851" customFormat="1" customHeight="1" ht="0">
      <c r="A63" s="1370"/>
      <c r="B63" s="1370"/>
      <c r="C63" s="1370"/>
      <c r="D63" s="1370"/>
      <c r="E63" s="1399"/>
      <c r="F63" s="1370"/>
      <c r="G63" s="1370"/>
      <c r="H63" s="1370"/>
      <c r="I63" s="1370"/>
      <c r="J63" s="1370"/>
      <c r="K63" s="1370"/>
      <c r="L63" s="1550"/>
      <c r="M63" s="1377"/>
      <c r="N63" s="1377"/>
      <c r="P63" s="1372"/>
      <c r="Q63" s="1373"/>
      <c r="R63" s="1372"/>
      <c r="S63" s="1378"/>
      <c r="T63" s="1381" t="s">
        <v>360</v>
      </c>
      <c r="U63" s="1380"/>
      <c r="V63" s="1380"/>
      <c r="W63" s="1380"/>
      <c r="X63" s="1380"/>
      <c r="Y63" s="1380"/>
      <c r="Z63" s="1380"/>
      <c r="AA63" s="1380"/>
      <c r="AB63" s="1380"/>
      <c r="AC63" s="1380"/>
      <c r="AD63" s="1380"/>
      <c r="AE63" s="1380"/>
      <c r="AF63" s="1380"/>
      <c r="AG63" s="1380"/>
      <c r="AH63" s="1380"/>
      <c r="AI63" s="1380"/>
      <c r="AJ63" s="1380"/>
      <c r="AK63" s="1380"/>
      <c r="AL63" s="1380"/>
      <c r="AM63" s="1380"/>
      <c r="AN63" s="1380"/>
      <c r="AO63" s="1380"/>
      <c r="AP63" s="1380"/>
      <c r="AQ63" s="1380"/>
      <c r="AR63" s="1380"/>
      <c r="AS63" s="1380"/>
      <c r="AT63" s="1380"/>
      <c r="AU63" s="1380"/>
      <c r="AV63" s="1380"/>
      <c r="AW63" s="1380"/>
      <c r="AX63" s="1380"/>
      <c r="AY63" s="1380"/>
      <c r="AZ63" s="1380"/>
      <c r="BA63" s="1380"/>
      <c r="BB63" s="1380"/>
      <c r="BC63" s="1380"/>
      <c r="BE63" s="845"/>
      <c r="BF63" s="845" t="str">
        <f>IF(T63="","",T63)</f>
        <v>Добавить наименование тарифа</v>
      </c>
      <c r="BG63" s="845"/>
      <c r="BH63" s="845"/>
      <c r="BI63" s="574">
        <v>0</v>
      </c>
    </row>
    <row customHeight="1" ht="11.549999999999999">
      <c r="M64" s="1216"/>
      <c r="N64" s="1216"/>
      <c r="O64" s="593"/>
      <c r="P64" s="1216"/>
      <c r="Q64" s="1216"/>
      <c r="R64" s="1211"/>
      <c r="S64" s="1211"/>
      <c r="BD64" s="1211"/>
      <c r="BE64" s="1211"/>
      <c r="BF64" s="1211"/>
      <c r="BG64" s="1211"/>
      <c r="BH64" s="1211"/>
      <c r="BI64" s="1211">
        <v>11</v>
      </c>
    </row>
    <row customHeight="1" ht="19.95">
      <c r="O65" s="593"/>
      <c r="S65" s="1309"/>
      <c r="T65" s="2341"/>
      <c r="U65" s="2341"/>
      <c r="V65" s="2341"/>
      <c r="W65" s="2341"/>
      <c r="X65" s="2341"/>
      <c r="Y65" s="2341"/>
      <c r="Z65" s="2341"/>
      <c r="AA65" s="2341"/>
      <c r="AB65" s="2341"/>
      <c r="AC65" s="2341"/>
      <c r="AD65" s="2341"/>
      <c r="AE65" s="2341"/>
      <c r="AF65" s="2341"/>
      <c r="AG65" s="2341"/>
      <c r="AH65" s="2341"/>
      <c r="AI65" s="2341"/>
      <c r="AJ65" s="2341"/>
      <c r="AK65" s="2341"/>
      <c r="AL65" s="2341"/>
      <c r="AM65" s="2341"/>
      <c r="AN65" s="2341"/>
      <c r="AO65" s="2341"/>
      <c r="AP65" s="2341"/>
      <c r="AQ65" s="2341"/>
      <c r="AR65" s="2341"/>
      <c r="AS65" s="2341"/>
      <c r="AT65" s="2341"/>
      <c r="AU65" s="2341"/>
      <c r="AV65" s="2341"/>
      <c r="AW65" s="2341"/>
      <c r="AX65" s="2341"/>
      <c r="AY65" s="2341"/>
      <c r="AZ65" s="2341"/>
      <c r="BA65" s="2341"/>
      <c r="BB65" s="2341"/>
      <c r="BC65" s="2341"/>
      <c r="BI65" s="1211">
        <v>19</v>
      </c>
    </row>
    <row customHeight="1" ht="14.699999999999998">
      <c r="O66" s="593"/>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1536"/>
      <c r="AV66" s="1536"/>
      <c r="AW66" s="1536"/>
      <c r="AX66" s="1536"/>
      <c r="AY66" s="1536"/>
      <c r="AZ66" s="1536"/>
      <c r="BA66" s="1536"/>
      <c r="BB66" s="1536"/>
      <c r="BC66" s="1536"/>
      <c r="BI66" s="1211">
        <v>14</v>
      </c>
    </row>
    <row customHeight="1" ht="19.95">
      <c r="O67" s="593"/>
      <c r="S67" s="1309"/>
      <c r="T67" s="2341"/>
      <c r="U67" s="2341"/>
      <c r="V67" s="2341"/>
      <c r="W67" s="2341"/>
      <c r="X67" s="2341"/>
      <c r="Y67" s="2341"/>
      <c r="Z67" s="2341"/>
      <c r="AA67" s="2341"/>
      <c r="AB67" s="2341"/>
      <c r="AC67" s="2341"/>
      <c r="AD67" s="2341"/>
      <c r="AE67" s="2341"/>
      <c r="AF67" s="2341"/>
      <c r="AG67" s="2341"/>
      <c r="AH67" s="2341"/>
      <c r="AI67" s="2341"/>
      <c r="AJ67" s="2341"/>
      <c r="AK67" s="2341"/>
      <c r="AL67" s="2341"/>
      <c r="AM67" s="2341"/>
      <c r="AN67" s="2341"/>
      <c r="AO67" s="2341"/>
      <c r="AP67" s="2341"/>
      <c r="AQ67" s="2341"/>
      <c r="AR67" s="2341"/>
      <c r="AS67" s="2341"/>
      <c r="AT67" s="2341"/>
      <c r="AU67" s="2341"/>
      <c r="AV67" s="2341"/>
      <c r="AW67" s="2341"/>
      <c r="AX67" s="2341"/>
      <c r="AY67" s="2341"/>
      <c r="AZ67" s="2341"/>
      <c r="BA67" s="2341"/>
      <c r="BB67" s="2341"/>
      <c r="BC67" s="2341"/>
      <c r="BI67" s="1211">
        <v>19</v>
      </c>
    </row>
    <row customHeight="1" ht="14.699999999999998">
      <c r="O68" s="593"/>
      <c r="BI68" s="1211">
        <v>14</v>
      </c>
    </row>
    <row customHeight="1" ht="14.25" hidden="1">
      <c r="A69" s="1216" t="s">
        <v>86</v>
      </c>
      <c r="B69" s="1216">
        <v>0</v>
      </c>
      <c r="C69" s="1216">
        <v>0</v>
      </c>
      <c r="D69" s="1216">
        <v>0</v>
      </c>
      <c r="E69" s="1216">
        <v>0</v>
      </c>
      <c r="F69" s="1216">
        <v>0</v>
      </c>
      <c r="G69" s="1216">
        <v>0</v>
      </c>
      <c r="H69" s="1216">
        <v>0</v>
      </c>
      <c r="I69" s="1216">
        <v>0</v>
      </c>
      <c r="J69" s="1216">
        <v>0</v>
      </c>
      <c r="K69" s="1216">
        <v>0</v>
      </c>
      <c r="L69" s="1534">
        <v>0</v>
      </c>
      <c r="M69" s="1418">
        <v>0</v>
      </c>
      <c r="N69" s="1418">
        <v>0</v>
      </c>
      <c r="O69" s="1418">
        <v>0</v>
      </c>
      <c r="P69" s="1418">
        <v>0</v>
      </c>
      <c r="Q69" s="1427">
        <v>0</v>
      </c>
      <c r="R69" s="400">
        <v>3</v>
      </c>
      <c r="S69" s="637">
        <v>12</v>
      </c>
      <c r="T69" s="1211">
        <v>31</v>
      </c>
      <c r="U69" s="1211">
        <v>0</v>
      </c>
      <c r="V69" s="1211">
        <v>0</v>
      </c>
      <c r="W69" s="1211">
        <v>0</v>
      </c>
      <c r="X69" s="1211">
        <v>0</v>
      </c>
      <c r="Y69" s="1211">
        <v>0</v>
      </c>
      <c r="Z69" s="1211">
        <v>0</v>
      </c>
      <c r="AA69" s="1211">
        <v>0</v>
      </c>
      <c r="AB69" s="1211">
        <v>0</v>
      </c>
      <c r="AC69" s="1211">
        <v>0</v>
      </c>
      <c r="AD69" s="1211">
        <v>3</v>
      </c>
      <c r="AE69" s="1211">
        <v>3</v>
      </c>
      <c r="AF69" s="1211">
        <v>3</v>
      </c>
      <c r="AG69" s="1211">
        <v>24</v>
      </c>
      <c r="AH69" s="1211">
        <v>3</v>
      </c>
      <c r="AI69" s="1211">
        <v>3</v>
      </c>
      <c r="AJ69" s="1211">
        <v>3</v>
      </c>
      <c r="AK69" s="1211">
        <v>24</v>
      </c>
      <c r="AL69" s="1211">
        <v>3</v>
      </c>
      <c r="AM69" s="1211">
        <v>3</v>
      </c>
      <c r="AN69" s="1211">
        <v>3</v>
      </c>
      <c r="AO69" s="1211">
        <v>18</v>
      </c>
      <c r="AP69" s="1211">
        <v>3</v>
      </c>
      <c r="AQ69" s="1211">
        <v>3</v>
      </c>
      <c r="AR69" s="1211">
        <v>3</v>
      </c>
      <c r="AS69" s="1211">
        <v>18</v>
      </c>
      <c r="AT69" s="1211">
        <v>21</v>
      </c>
      <c r="AU69" s="1211">
        <v>21</v>
      </c>
      <c r="AV69" s="1211">
        <v>21</v>
      </c>
      <c r="AW69" s="1211">
        <v>21</v>
      </c>
      <c r="AX69" s="1211">
        <v>11</v>
      </c>
      <c r="AY69" s="1211">
        <v>3</v>
      </c>
      <c r="AZ69" s="1211">
        <v>11</v>
      </c>
      <c r="BA69" s="1211">
        <v>0</v>
      </c>
      <c r="BB69" s="1211">
        <v>4</v>
      </c>
      <c r="BC69" s="1211">
        <v>115</v>
      </c>
      <c r="BD69" s="567">
        <v>10</v>
      </c>
      <c r="BE69" s="567">
        <v>10</v>
      </c>
      <c r="BF69" s="567">
        <v>10</v>
      </c>
      <c r="BG69" s="567">
        <v>10</v>
      </c>
      <c r="BH69" s="567">
        <v>10</v>
      </c>
      <c r="BI69" s="1211">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798F6D-BDCE-B819-BEBF-318E9A89CC2A}" mc:Ignorable="x14ac xr xr2 xr3">
  <sheetPr>
    <tabColor theme="9" tint="-0.25"/>
  </sheetPr>
  <dimension ref="A1:AF303"/>
  <sheetViews>
    <sheetView topLeftCell="A1" showGridLines="0" zoomScale="90" workbookViewId="0">
      <selection activeCell="A1" sqref="A1"/>
    </sheetView>
  </sheetViews>
  <sheetFormatPr defaultColWidth="9.140625" customHeight="1" defaultRowHeight="11.25"/>
  <cols>
    <col min="1" max="1" style="12353" width="10.7109375" hidden="1" customWidth="1"/>
    <col min="2" max="2" style="2850" width="16.8515625" hidden="1" customWidth="1"/>
    <col min="3" max="3" style="2851" width="5.57421875" hidden="1" customWidth="1"/>
    <col min="4" max="4" style="2774" width="3.00390625" customWidth="1"/>
    <col min="5" max="5" style="2774" width="7.00390625" customWidth="1"/>
    <col min="6" max="6" style="2774" width="54.00390625" customWidth="1"/>
    <col min="7" max="7" style="2774" width="10.00390625" customWidth="1"/>
    <col min="8" max="8" style="2774" width="40.7109375" hidden="1" customWidth="1"/>
    <col min="9" max="9" style="2774" width="40.7109375" customWidth="1"/>
    <col min="10" max="10" style="2774" width="102.00390625" customWidth="1"/>
    <col min="11" max="11" style="2850" width="9.00390625" customWidth="1"/>
    <col min="12" max="12" style="2851" width="5.00390625" customWidth="1"/>
    <col min="13" max="13" style="2851" width="3.00390625" customWidth="1"/>
    <col min="14" max="17" style="2850" width="3.00390625" customWidth="1"/>
    <col min="18" max="18" style="2851" width="10.00390625" customWidth="1"/>
    <col min="19" max="19" style="2850" width="34.00390625" customWidth="1"/>
    <col min="20" max="20" style="2850" width="9.00390625" customWidth="1"/>
    <col min="21" max="21" style="12423" width="8.00390625" customWidth="1"/>
    <col min="22" max="26" style="2850" width="8.00390625" customWidth="1"/>
    <col min="27" max="31" style="2738" width="8.00390625" customWidth="1"/>
    <col min="32" max="32" style="2774" width="9.140625" hidden="1"/>
  </cols>
  <sheetData>
    <row customHeight="1" ht="22.5" hidden="1">
      <c r="AF1" s="1687" t="s">
        <v>14</v>
      </c>
    </row>
    <row customHeight="1" ht="23.25" hidden="1">
      <c r="B2" s="2155"/>
      <c r="C2" s="1223" t="s">
        <v>678</v>
      </c>
      <c r="D2" s="1694"/>
      <c r="E2" s="602">
        <f>B2</f>
        <v>0</v>
      </c>
      <c r="F2" s="603"/>
      <c r="G2" s="1702" t="s">
        <v>679</v>
      </c>
      <c r="H2" s="1702" t="s">
        <v>679</v>
      </c>
      <c r="I2" s="1702" t="s">
        <v>679</v>
      </c>
      <c r="J2" s="345" t="s">
        <v>680</v>
      </c>
      <c r="K2" s="599"/>
      <c r="AF2" s="1687">
        <v>0</v>
      </c>
    </row>
    <row s="2851" customFormat="1" customHeight="1" ht="0.75" hidden="1">
      <c r="B3" s="2155"/>
      <c r="C3" s="1223"/>
      <c r="D3" s="604"/>
      <c r="E3" s="605"/>
      <c r="F3" s="606" t="s">
        <v>681</v>
      </c>
      <c r="G3" s="607"/>
      <c r="H3" s="607">
        <f>H4*H5+H7</f>
        <v>0</v>
      </c>
      <c r="I3" s="607">
        <f>I4*I5+I6</f>
        <v>0</v>
      </c>
      <c r="J3" s="608"/>
      <c r="AF3" s="1692">
        <v>0</v>
      </c>
    </row>
    <row customHeight="1" ht="23.25" hidden="1">
      <c r="B4" s="2155"/>
      <c r="C4" s="1223"/>
      <c r="D4" s="1694"/>
      <c r="E4" s="602" t="str">
        <f>B2&amp;".1"</f>
        <v>.1</v>
      </c>
      <c r="F4" s="609" t="s">
        <v>682</v>
      </c>
      <c r="G4" s="610"/>
      <c r="H4" s="597"/>
      <c r="I4" s="597"/>
      <c r="J4" s="345" t="s">
        <v>683</v>
      </c>
      <c r="K4" s="599"/>
      <c r="AF4" s="1687">
        <v>0</v>
      </c>
    </row>
    <row customHeight="1" ht="18.75" hidden="1">
      <c r="B5" s="2155"/>
      <c r="C5" s="1223"/>
      <c r="D5" s="1694"/>
      <c r="E5" s="602" t="str">
        <f>B2&amp;".2"</f>
        <v>.2</v>
      </c>
      <c r="F5" s="609" t="s">
        <v>684</v>
      </c>
      <c r="G5" s="1702" t="s">
        <v>685</v>
      </c>
      <c r="H5" s="597"/>
      <c r="I5" s="597"/>
      <c r="J5" s="345"/>
      <c r="K5" s="599"/>
      <c r="AF5" s="1687">
        <v>0</v>
      </c>
    </row>
    <row customHeight="1" ht="18.75" hidden="1">
      <c r="B6" s="2155"/>
      <c r="C6" s="1223"/>
      <c r="D6" s="1694"/>
      <c r="E6" s="602" t="str">
        <f>B2&amp;".3"</f>
        <v>.3</v>
      </c>
      <c r="F6" s="609" t="s">
        <v>686</v>
      </c>
      <c r="G6" s="1702" t="s">
        <v>685</v>
      </c>
      <c r="H6" s="597"/>
      <c r="I6" s="597"/>
      <c r="J6" s="345"/>
      <c r="K6" s="599"/>
      <c r="AF6" s="1687">
        <v>0</v>
      </c>
    </row>
    <row customHeight="1" ht="18.75" hidden="1">
      <c r="B7" s="2155"/>
      <c r="C7" s="1223"/>
      <c r="D7" s="1694"/>
      <c r="E7" s="602" t="str">
        <f>B2&amp;".4"</f>
        <v>.4</v>
      </c>
      <c r="F7" s="609" t="s">
        <v>687</v>
      </c>
      <c r="G7" s="1702" t="s">
        <v>679</v>
      </c>
      <c r="H7" s="611"/>
      <c r="I7" s="611"/>
      <c r="J7" s="345"/>
      <c r="K7" s="599"/>
      <c r="AF7" s="1687">
        <v>0</v>
      </c>
    </row>
    <row s="2850" customFormat="1" customHeight="1" ht="11.25" hidden="1">
      <c r="A8" s="1043"/>
      <c r="C8" s="1692"/>
      <c r="D8" s="593"/>
      <c r="H8" s="1216">
        <v>4</v>
      </c>
      <c r="I8" s="1216">
        <v>4</v>
      </c>
      <c r="L8" s="1692"/>
      <c r="M8" s="1692"/>
      <c r="R8" s="1692"/>
      <c r="AF8" s="1216">
        <v>0</v>
      </c>
    </row>
    <row s="2850" customFormat="1" customHeight="1" ht="22.5" hidden="1">
      <c r="A9" s="1043"/>
      <c r="C9" s="1692"/>
      <c r="D9" s="594"/>
      <c r="E9" s="1704"/>
      <c r="F9" s="596"/>
      <c r="G9" s="1702" t="s">
        <v>685</v>
      </c>
      <c r="H9" s="597"/>
      <c r="I9" s="597"/>
      <c r="J9" s="598" t="s">
        <v>688</v>
      </c>
      <c r="K9" s="599"/>
      <c r="L9" s="1692"/>
      <c r="M9" s="1692"/>
      <c r="R9" s="1692"/>
      <c r="U9" s="600"/>
      <c r="AA9" s="1688"/>
      <c r="AB9" s="1688"/>
      <c r="AC9" s="1688"/>
      <c r="AD9" s="1688"/>
      <c r="AE9" s="1688"/>
      <c r="AF9" s="1216">
        <v>0</v>
      </c>
    </row>
    <row customHeight="1" ht="11.25" hidden="1">
      <c r="AF10" s="1687">
        <v>0</v>
      </c>
    </row>
    <row customHeight="1" ht="18.75" hidden="1">
      <c r="D11" s="1694"/>
      <c r="E11" s="602"/>
      <c r="F11" s="596"/>
      <c r="G11" s="1702" t="s">
        <v>689</v>
      </c>
      <c r="H11" s="597"/>
      <c r="I11" s="597"/>
      <c r="J11" s="345" t="s">
        <v>690</v>
      </c>
      <c r="K11" s="599"/>
      <c r="AF11" s="1687">
        <v>0</v>
      </c>
    </row>
    <row customHeight="1" ht="11.25" hidden="1">
      <c r="AF12" s="1687">
        <v>0</v>
      </c>
    </row>
    <row customHeight="1" ht="22.5" hidden="1">
      <c r="D13" s="1694"/>
      <c r="E13" s="602"/>
      <c r="F13" s="596"/>
      <c r="G13" s="1025" t="s">
        <v>691</v>
      </c>
      <c r="H13" s="601"/>
      <c r="I13" s="601"/>
      <c r="J13" s="801" t="s">
        <v>692</v>
      </c>
      <c r="K13" s="599"/>
      <c r="AF13" s="1687">
        <v>0</v>
      </c>
    </row>
    <row customHeight="1" ht="11.25" hidden="1">
      <c r="AF14" s="1687">
        <v>0</v>
      </c>
    </row>
    <row customHeight="1" ht="22.5" hidden="1">
      <c r="D15" s="1694"/>
      <c r="E15" s="602"/>
      <c r="F15" s="596"/>
      <c r="G15" s="1702" t="s">
        <v>693</v>
      </c>
      <c r="H15" s="601"/>
      <c r="I15" s="601"/>
      <c r="J15" s="345" t="s">
        <v>694</v>
      </c>
      <c r="K15" s="599"/>
      <c r="AF15" s="1687">
        <v>0</v>
      </c>
    </row>
    <row customHeight="1" ht="11.25" hidden="1">
      <c r="AF16" s="1687">
        <v>0</v>
      </c>
    </row>
    <row customHeight="1" ht="22.5" hidden="1">
      <c r="D17" s="1694"/>
      <c r="E17" s="602"/>
      <c r="F17" s="596"/>
      <c r="G17" s="1702" t="s">
        <v>695</v>
      </c>
      <c r="H17" s="601"/>
      <c r="I17" s="601"/>
      <c r="J17" s="345" t="s">
        <v>696</v>
      </c>
      <c r="K17" s="599"/>
      <c r="AF17" s="1687">
        <v>0</v>
      </c>
    </row>
    <row customHeight="1" ht="11.25" hidden="1">
      <c r="AF18" s="1687">
        <v>0</v>
      </c>
    </row>
    <row s="2738" customFormat="1" customHeight="1" ht="11.25" hidden="1">
      <c r="A19" s="1043"/>
      <c r="B19" s="1216"/>
      <c r="C19" s="1692"/>
      <c r="D19" s="418"/>
      <c r="J19" s="1688">
        <v>4</v>
      </c>
      <c r="K19" s="1216"/>
      <c r="L19" s="1692"/>
      <c r="M19" s="1692"/>
      <c r="N19" s="1216"/>
      <c r="O19" s="1216"/>
      <c r="P19" s="1216"/>
      <c r="Q19" s="1216"/>
      <c r="R19" s="1692"/>
      <c r="S19" s="1216"/>
      <c r="T19" s="1216"/>
      <c r="U19" s="600"/>
      <c r="V19" s="1216"/>
      <c r="W19" s="1216"/>
      <c r="X19" s="1216"/>
      <c r="Y19" s="1216"/>
      <c r="Z19" s="1216"/>
      <c r="AF19" s="1688">
        <v>0</v>
      </c>
    </row>
    <row customHeight="1" ht="11.549999999999999">
      <c r="AF20" s="1687">
        <v>11</v>
      </c>
    </row>
    <row customHeight="1" ht="25.2">
      <c r="E21" s="2304"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304"/>
      <c r="G21" s="2304"/>
      <c r="H21" s="2304"/>
      <c r="I21" s="2304"/>
      <c r="J21" s="612"/>
      <c r="AF21" s="1687">
        <v>24</v>
      </c>
    </row>
    <row customHeight="1" ht="25.2">
      <c r="E22" s="2305" t="str">
        <f>IF(org=0,"Не определено",org)</f>
        <v>МУП ЖКХ "Родник"</v>
      </c>
      <c r="F22" s="2305"/>
      <c r="G22" s="2305"/>
      <c r="H22" s="2305"/>
      <c r="I22" s="2305"/>
      <c r="AF22" s="1687">
        <v>24</v>
      </c>
    </row>
    <row customHeight="1" ht="11.549999999999999">
      <c r="E23" s="1191"/>
      <c r="F23" s="1191"/>
      <c r="G23" s="1191"/>
      <c r="H23" s="1191"/>
      <c r="I23" s="1191"/>
      <c r="AF23" s="1687">
        <v>11</v>
      </c>
    </row>
    <row s="2851" customFormat="1" customHeight="1" ht="1.05">
      <c r="A24" s="1223"/>
      <c r="D24" s="1698"/>
      <c r="H24" s="945"/>
      <c r="I24" s="945" t="s">
        <v>196</v>
      </c>
      <c r="AF24" s="1692">
        <v>1</v>
      </c>
    </row>
    <row customHeight="1" ht="11.549999999999999">
      <c r="E25" s="767"/>
      <c r="F25" s="2423" t="s">
        <v>187</v>
      </c>
      <c r="G25" s="2424"/>
      <c r="H25" s="1708" t="str">
        <f>IF(H24="","",INDEX(DIFFERENTIATION_UNMERGE_VD,MATCH(H24,DIFFERENTIATION_ID_DIFF,0)))</f>
        <v/>
      </c>
      <c r="I25" s="1708">
        <f>IF(I24="","",INDEX(DIFFERENTIATION_UNMERGE_VD,MATCH(I24,DIFFERENTIATION_ID_DIFF,0)))</f>
        <v>0</v>
      </c>
      <c r="J25" s="2183"/>
      <c r="AF25" s="1687">
        <v>11</v>
      </c>
    </row>
    <row customHeight="1" ht="11.549999999999999">
      <c r="E26" s="767"/>
      <c r="F26" s="2423" t="s">
        <v>697</v>
      </c>
      <c r="G26" s="2424"/>
      <c r="H26" s="1708" t="str">
        <f>IF(H24="","",INDEX(DIFFERENTIATION_UNMERGE_AREA,MATCH(H24,DIFFERENTIATION_ID_DIFF,0)))</f>
        <v/>
      </c>
      <c r="I26" s="1708" t="str">
        <f>IF(I24="","",INDEX(DIFFERENTIATION_UNMERGE_AREA,MATCH(I24,DIFFERENTIATION_ID_DIFF,0)))</f>
        <v/>
      </c>
      <c r="J26" s="2183"/>
      <c r="AF26" s="1687">
        <v>11</v>
      </c>
    </row>
    <row customHeight="1" ht="11.549999999999999">
      <c r="E27" s="767"/>
      <c r="F27" s="2423" t="s">
        <v>698</v>
      </c>
      <c r="G27" s="2424"/>
      <c r="H27" s="1708" t="str">
        <f>IF(H24="","",INDEX(DIFFERENTIATION_UNMERGE_SYSTEM,MATCH(H24,DIFFERENTIATION_ID_DIFF,0)))</f>
        <v/>
      </c>
      <c r="I27" s="1708" t="str">
        <f>IF(I24="","",INDEX(DIFFERENTIATION_UNMERGE_SYSTEM,MATCH(I24,DIFFERENTIATION_ID_DIFF,0)))</f>
        <v>без дифференциации</v>
      </c>
      <c r="J27" s="2183"/>
      <c r="AF27" s="1687">
        <v>11</v>
      </c>
    </row>
    <row customHeight="1" ht="11.549999999999999">
      <c r="E28" s="2425" t="s">
        <v>432</v>
      </c>
      <c r="F28" s="2426"/>
      <c r="G28" s="2426"/>
      <c r="H28" s="1701"/>
      <c r="I28" s="1701"/>
      <c r="J28" s="2183"/>
      <c r="AF28" s="1687">
        <v>11</v>
      </c>
    </row>
    <row customHeight="1" ht="24">
      <c r="E29" s="1702" t="s">
        <v>92</v>
      </c>
      <c r="F29" s="1709" t="s">
        <v>434</v>
      </c>
      <c r="G29" s="1709" t="s">
        <v>699</v>
      </c>
      <c r="H29" s="1709" t="s">
        <v>435</v>
      </c>
      <c r="I29" s="1709" t="s">
        <v>435</v>
      </c>
      <c r="J29" s="2183"/>
      <c r="AF29" s="1687">
        <v>23</v>
      </c>
    </row>
    <row customHeight="1" ht="19.95">
      <c r="D30" s="1694"/>
      <c r="E30" s="602">
        <f>FHD_NUM_P_1</f>
        <v>1</v>
      </c>
      <c r="F30" s="1936" t="str">
        <f>FHD_P_1</f>
        <v>Выручка от регулируемых видов деятельности в сфере холодного водоснабжения</v>
      </c>
      <c r="G30" s="1934" t="s">
        <v>685</v>
      </c>
      <c r="H30" s="613"/>
      <c r="I30" s="613"/>
      <c r="J30" s="345" t="str">
        <f>FHD_NOTE_P_1</f>
        <v>Указывается выручка с распределением по видам деятельности.</v>
      </c>
      <c r="K30" s="599"/>
      <c r="AF30" s="1687">
        <v>19</v>
      </c>
    </row>
    <row customHeight="1" ht="11.549999999999999">
      <c r="D31" s="1694"/>
      <c r="E31" s="602">
        <f>FHD_NUM_P_2</f>
        <v>2</v>
      </c>
      <c r="F31" s="1936" t="str">
        <f>FHD_P_2</f>
        <v>Себестоимость производимых товаров (оказываемых услуг) по регулируемым видам деятельности в сфере холодного водоснабжения, включая:</v>
      </c>
      <c r="G31" s="1934" t="s">
        <v>685</v>
      </c>
      <c r="H31" s="614">
        <f>SUMIF($K33:$K71,$K31,H33:H71)</f>
        <v>0</v>
      </c>
      <c r="I31" s="614">
        <f>SUMIF($K33:$K71,$K31,I33:I71)</f>
        <v>0</v>
      </c>
      <c r="J31" s="345" t="str">
        <f>FHD_NOTE_P_2</f>
        <v>Указывается суммарная себестоимость производимых товаров.</v>
      </c>
      <c r="K31" s="1692" t="s">
        <v>700</v>
      </c>
      <c r="AF31" s="1687">
        <v>11</v>
      </c>
    </row>
    <row customHeight="1" ht="11.549999999999999">
      <c r="D32" s="1694"/>
      <c r="E32" s="602" t="str">
        <f>FHD_NUM_P_3</f>
        <v>2.1</v>
      </c>
      <c r="F32" s="1580" t="str">
        <f>FHD_P_3</f>
        <v>Расходы на оплату холодной воды, приобретаемой у других организаций для последующей подачи потребителям</v>
      </c>
      <c r="G32" s="1934" t="s">
        <v>685</v>
      </c>
      <c r="H32" s="613"/>
      <c r="I32" s="613"/>
      <c r="J32" s="345" t="str">
        <f>FHD_NOTE_P_3</f>
        <v/>
      </c>
      <c r="K32" s="1692" t="str">
        <f>IF((LEN(E32)-LEN(SUBSTITUTE(E32,".","")))/LEN(".")=1,"p","")</f>
        <v>p</v>
      </c>
      <c r="AF32" s="1687">
        <v>11</v>
      </c>
    </row>
    <row customHeight="1" ht="11.25" hidden="1">
      <c r="A33" s="2427" t="s">
        <v>701</v>
      </c>
      <c r="D33" s="1694"/>
      <c r="E33" s="602" t="str">
        <f>FHD_NUM_P_4</f>
        <v/>
      </c>
      <c r="F33" s="1580" t="str">
        <f>FHD_P_4</f>
        <v/>
      </c>
      <c r="G33" s="1934" t="s">
        <v>685</v>
      </c>
      <c r="H33" s="614">
        <f>SUMIF($F34:$F40,$F3,H34:H40)</f>
        <v>0</v>
      </c>
      <c r="I33" s="614">
        <f>SUMIF($F34:$F40,$F3,I34:I40)</f>
        <v>0</v>
      </c>
      <c r="J33" s="345" t="str">
        <f>FHD_NOTE_P_4</f>
        <v/>
      </c>
      <c r="K33" s="1692" t="str">
        <f>IF((LEN(E33)-LEN(SUBSTITUTE(E33,".","")))/LEN(".")=1,"p","")</f>
        <v/>
      </c>
      <c r="AF33" s="1687">
        <v>0</v>
      </c>
    </row>
    <row s="3442" customFormat="1" customHeight="1" ht="0.75" hidden="1">
      <c r="A34" s="2427"/>
      <c r="B34" s="2428" t="str">
        <f>E33&amp;".0"</f>
        <v>.0</v>
      </c>
      <c r="C34" s="1223"/>
      <c r="D34" s="616"/>
      <c r="E34" s="617"/>
      <c r="F34" s="618"/>
      <c r="G34" s="619"/>
      <c r="H34" s="553"/>
      <c r="I34" s="553"/>
      <c r="J34" s="620"/>
      <c r="K34" s="1692" t="str">
        <f>IF((LEN(E34)-LEN(SUBSTITUTE(E34,".","")))/LEN(".")=1,"p","")</f>
        <v/>
      </c>
      <c r="L34" s="1692"/>
      <c r="M34" s="1692"/>
      <c r="N34" s="1692"/>
      <c r="O34" s="1692"/>
      <c r="P34" s="1692"/>
      <c r="Q34" s="1692"/>
      <c r="R34" s="1692"/>
      <c r="S34" s="1692"/>
      <c r="T34" s="1692"/>
      <c r="U34" s="621"/>
      <c r="V34" s="1692"/>
      <c r="W34" s="1692"/>
      <c r="X34" s="1692"/>
      <c r="Y34" s="1692"/>
      <c r="Z34" s="1692"/>
      <c r="AA34" s="622"/>
      <c r="AB34" s="622"/>
      <c r="AC34" s="622"/>
      <c r="AD34" s="622"/>
      <c r="AE34" s="622"/>
      <c r="AF34" s="1697">
        <v>0</v>
      </c>
    </row>
    <row s="3442" customFormat="1" customHeight="1" ht="0.75" hidden="1">
      <c r="A35" s="2427"/>
      <c r="B35" s="2428"/>
      <c r="C35" s="1223"/>
      <c r="D35" s="616"/>
      <c r="E35" s="623"/>
      <c r="F35" s="624"/>
      <c r="G35" s="619"/>
      <c r="H35" s="625"/>
      <c r="I35" s="625"/>
      <c r="J35" s="620"/>
      <c r="K35" s="1692" t="str">
        <f>IF((LEN(E35)-LEN(SUBSTITUTE(E35,".","")))/LEN(".")=1,"p","")</f>
        <v/>
      </c>
      <c r="L35" s="1692"/>
      <c r="M35" s="1692"/>
      <c r="N35" s="1692"/>
      <c r="O35" s="1692"/>
      <c r="P35" s="1692"/>
      <c r="Q35" s="1692"/>
      <c r="R35" s="1692"/>
      <c r="S35" s="1692"/>
      <c r="T35" s="1692"/>
      <c r="U35" s="621"/>
      <c r="V35" s="1692"/>
      <c r="W35" s="1692"/>
      <c r="X35" s="1692"/>
      <c r="Y35" s="1692"/>
      <c r="Z35" s="1692"/>
      <c r="AA35" s="622"/>
      <c r="AB35" s="622"/>
      <c r="AC35" s="622"/>
      <c r="AD35" s="622"/>
      <c r="AE35" s="622"/>
      <c r="AF35" s="1697">
        <v>0</v>
      </c>
    </row>
    <row s="3442" customFormat="1" customHeight="1" ht="0.75" hidden="1">
      <c r="A36" s="2427"/>
      <c r="B36" s="2428"/>
      <c r="C36" s="1223"/>
      <c r="D36" s="616"/>
      <c r="E36" s="623"/>
      <c r="F36" s="624"/>
      <c r="G36" s="619"/>
      <c r="H36" s="625"/>
      <c r="I36" s="625"/>
      <c r="J36" s="620"/>
      <c r="K36" s="1692" t="str">
        <f>IF((LEN(E36)-LEN(SUBSTITUTE(E36,".","")))/LEN(".")=1,"p","")</f>
        <v/>
      </c>
      <c r="L36" s="1692"/>
      <c r="M36" s="1692"/>
      <c r="N36" s="1692"/>
      <c r="O36" s="1692"/>
      <c r="P36" s="1692"/>
      <c r="Q36" s="1692"/>
      <c r="R36" s="1692"/>
      <c r="S36" s="1692"/>
      <c r="T36" s="1692"/>
      <c r="U36" s="621"/>
      <c r="V36" s="1692"/>
      <c r="W36" s="1692"/>
      <c r="X36" s="1692"/>
      <c r="Y36" s="1692"/>
      <c r="Z36" s="1692"/>
      <c r="AA36" s="622"/>
      <c r="AB36" s="622"/>
      <c r="AC36" s="622"/>
      <c r="AD36" s="622"/>
      <c r="AE36" s="622"/>
      <c r="AF36" s="1697">
        <v>0</v>
      </c>
    </row>
    <row s="3442" customFormat="1" customHeight="1" ht="0.75" hidden="1">
      <c r="A37" s="2427"/>
      <c r="B37" s="2428"/>
      <c r="C37" s="1223"/>
      <c r="D37" s="616"/>
      <c r="E37" s="623"/>
      <c r="F37" s="624"/>
      <c r="G37" s="619"/>
      <c r="H37" s="625"/>
      <c r="I37" s="625"/>
      <c r="J37" s="620"/>
      <c r="K37" s="1692" t="str">
        <f>IF((LEN(E37)-LEN(SUBSTITUTE(E37,".","")))/LEN(".")=1,"p","")</f>
        <v/>
      </c>
      <c r="L37" s="1692"/>
      <c r="M37" s="1692"/>
      <c r="N37" s="1692"/>
      <c r="O37" s="1692"/>
      <c r="P37" s="1692"/>
      <c r="Q37" s="1692"/>
      <c r="R37" s="1692"/>
      <c r="S37" s="1692"/>
      <c r="T37" s="1692"/>
      <c r="U37" s="621"/>
      <c r="V37" s="1692"/>
      <c r="W37" s="1692"/>
      <c r="X37" s="1692"/>
      <c r="Y37" s="1692"/>
      <c r="Z37" s="1692"/>
      <c r="AA37" s="622"/>
      <c r="AB37" s="622"/>
      <c r="AC37" s="622"/>
      <c r="AD37" s="622"/>
      <c r="AE37" s="622"/>
      <c r="AF37" s="1697">
        <v>0</v>
      </c>
    </row>
    <row s="3442" customFormat="1" customHeight="1" ht="0.75" hidden="1">
      <c r="A38" s="2427"/>
      <c r="B38" s="2428"/>
      <c r="C38" s="1223"/>
      <c r="D38" s="616"/>
      <c r="E38" s="623"/>
      <c r="F38" s="624"/>
      <c r="G38" s="619"/>
      <c r="H38" s="625"/>
      <c r="I38" s="625"/>
      <c r="J38" s="620"/>
      <c r="K38" s="1692" t="str">
        <f>IF((LEN(E38)-LEN(SUBSTITUTE(E38,".","")))/LEN(".")=1,"p","")</f>
        <v/>
      </c>
      <c r="L38" s="1692"/>
      <c r="M38" s="1692"/>
      <c r="N38" s="1692"/>
      <c r="O38" s="1692"/>
      <c r="P38" s="1692"/>
      <c r="Q38" s="1692"/>
      <c r="R38" s="1692"/>
      <c r="S38" s="1692"/>
      <c r="T38" s="1692"/>
      <c r="U38" s="621"/>
      <c r="V38" s="1692"/>
      <c r="W38" s="1692"/>
      <c r="X38" s="1692"/>
      <c r="Y38" s="1692"/>
      <c r="Z38" s="1692"/>
      <c r="AA38" s="622"/>
      <c r="AB38" s="622"/>
      <c r="AC38" s="622"/>
      <c r="AD38" s="622"/>
      <c r="AE38" s="622"/>
      <c r="AF38" s="1697">
        <v>0</v>
      </c>
    </row>
    <row s="3442" customFormat="1" customHeight="1" ht="0.75" hidden="1">
      <c r="A39" s="2427"/>
      <c r="B39" s="2428"/>
      <c r="C39" s="1223"/>
      <c r="D39" s="616"/>
      <c r="E39" s="623"/>
      <c r="F39" s="624"/>
      <c r="G39" s="619"/>
      <c r="H39" s="553"/>
      <c r="I39" s="553"/>
      <c r="J39" s="620"/>
      <c r="K39" s="1692" t="str">
        <f>IF((LEN(E39)-LEN(SUBSTITUTE(E39,".","")))/LEN(".")=1,"p","")</f>
        <v/>
      </c>
      <c r="L39" s="1692"/>
      <c r="M39" s="1692"/>
      <c r="N39" s="1692"/>
      <c r="O39" s="1692"/>
      <c r="P39" s="1692"/>
      <c r="Q39" s="1692"/>
      <c r="R39" s="1692"/>
      <c r="S39" s="1692"/>
      <c r="T39" s="1692"/>
      <c r="U39" s="621"/>
      <c r="V39" s="1692"/>
      <c r="W39" s="1692"/>
      <c r="X39" s="1692"/>
      <c r="Y39" s="1692"/>
      <c r="Z39" s="1692"/>
      <c r="AA39" s="622"/>
      <c r="AB39" s="622"/>
      <c r="AC39" s="622"/>
      <c r="AD39" s="622"/>
      <c r="AE39" s="622"/>
      <c r="AF39" s="1697">
        <v>0</v>
      </c>
    </row>
    <row s="2850" customFormat="1" customHeight="1" ht="15" hidden="1">
      <c r="A40" s="2427"/>
      <c r="C40" s="1692"/>
      <c r="D40" s="1689"/>
      <c r="E40" s="626"/>
      <c r="F40" s="627" t="s">
        <v>702</v>
      </c>
      <c r="G40" s="628"/>
      <c r="H40" s="629"/>
      <c r="I40" s="629"/>
      <c r="J40" s="357"/>
      <c r="K40" s="1692" t="str">
        <f>IF((LEN(E40)-LEN(SUBSTITUTE(E40,".","")))/LEN(".")=1,"p","")</f>
        <v/>
      </c>
      <c r="L40" s="1692"/>
      <c r="M40" s="1692"/>
      <c r="R40" s="1692"/>
      <c r="U40" s="600"/>
      <c r="AA40" s="1688"/>
      <c r="AB40" s="1688"/>
      <c r="AC40" s="1688"/>
      <c r="AD40" s="1688"/>
      <c r="AE40" s="1688"/>
      <c r="AF40" s="1216">
        <v>0</v>
      </c>
    </row>
    <row customHeight="1" ht="11.25" hidden="1">
      <c r="A41" s="2427" t="s">
        <v>703</v>
      </c>
      <c r="D41" s="1694"/>
      <c r="E41" s="602" t="str">
        <f>FHD_NUM_P_5</f>
        <v/>
      </c>
      <c r="F41" s="1580" t="str">
        <f>FHD_P_5</f>
        <v/>
      </c>
      <c r="G41" s="1934" t="s">
        <v>685</v>
      </c>
      <c r="H41" s="613"/>
      <c r="I41" s="613"/>
      <c r="J41" s="345" t="str">
        <f>FHD_NOTE_P_5</f>
        <v/>
      </c>
      <c r="K41" s="1692" t="str">
        <f>IF((LEN(E41)-LEN(SUBSTITUTE(E41,".","")))/LEN(".")=1,"p","")</f>
        <v/>
      </c>
      <c r="AF41" s="1687">
        <v>0</v>
      </c>
    </row>
    <row customHeight="1" ht="11.25" hidden="1">
      <c r="A42" s="2427"/>
      <c r="D42" s="1694"/>
      <c r="E42" s="602" t="str">
        <f>FHD_NUM_P_6</f>
        <v/>
      </c>
      <c r="F42" s="1580" t="str">
        <f>FHD_P_6</f>
        <v/>
      </c>
      <c r="G42" s="1934" t="s">
        <v>685</v>
      </c>
      <c r="H42" s="613"/>
      <c r="I42" s="613"/>
      <c r="J42" s="345" t="str">
        <f>FHD_NOTE_P_6</f>
        <v/>
      </c>
      <c r="K42" s="1692" t="str">
        <f>IF((LEN(E42)-LEN(SUBSTITUTE(E42,".","")))/LEN(".")=1,"p","")</f>
        <v/>
      </c>
      <c r="AF42" s="1687">
        <v>0</v>
      </c>
    </row>
    <row customHeight="1" ht="11.25" hidden="1">
      <c r="A43" s="2427"/>
      <c r="D43" s="1694"/>
      <c r="E43" s="602" t="str">
        <f>FHD_NUM_P_7</f>
        <v/>
      </c>
      <c r="F43" s="1580" t="str">
        <f>FHD_P_7</f>
        <v/>
      </c>
      <c r="G43" s="1934" t="s">
        <v>685</v>
      </c>
      <c r="H43" s="613"/>
      <c r="I43" s="613"/>
      <c r="J43" s="345" t="str">
        <f>FHD_NOTE_P_7</f>
        <v/>
      </c>
      <c r="K43" s="1692" t="str">
        <f>IF((LEN(E43)-LEN(SUBSTITUTE(E43,".","")))/LEN(".")=1,"p","")</f>
        <v/>
      </c>
      <c r="AF43" s="1687">
        <v>0</v>
      </c>
    </row>
    <row customHeight="1" ht="11.549999999999999">
      <c r="D44" s="1694"/>
      <c r="E44" s="602" t="str">
        <f>FHD_NUM_P_8</f>
        <v>2.2</v>
      </c>
      <c r="F44" s="1580" t="str">
        <f>FHD_P_8</f>
        <v>Расходы на приобретаемую электрическую энергию (мощность), используемую в технологическом процессе</v>
      </c>
      <c r="G44" s="1934" t="s">
        <v>685</v>
      </c>
      <c r="H44" s="613"/>
      <c r="I44" s="613"/>
      <c r="J44" s="345" t="str">
        <f>FHD_NOTE_P_8</f>
        <v/>
      </c>
      <c r="K44" s="1692" t="str">
        <f>IF((LEN(E44)-LEN(SUBSTITUTE(E44,".","")))/LEN(".")=1,"p","")</f>
        <v>p</v>
      </c>
      <c r="AF44" s="1687">
        <v>11</v>
      </c>
    </row>
    <row customHeight="1" ht="11.549999999999999">
      <c r="D45" s="1694"/>
      <c r="E45" s="602" t="str">
        <f>FHD_NUM_P_9</f>
        <v>2.2.1</v>
      </c>
      <c r="F45" s="1706" t="str">
        <f>FHD_P_9</f>
        <v>Средневзвешенная стоимость 1 кВт.ч (с учетом мощности)</v>
      </c>
      <c r="G45" s="1934" t="s">
        <v>704</v>
      </c>
      <c r="H45" s="613"/>
      <c r="I45" s="613"/>
      <c r="J45" s="345" t="str">
        <f>FHD_NOTE_P_9</f>
        <v/>
      </c>
      <c r="K45" s="1692" t="str">
        <f>IF((LEN(E45)-LEN(SUBSTITUTE(E45,".","")))/LEN(".")=1,"p","")</f>
        <v/>
      </c>
      <c r="AF45" s="1687">
        <v>11</v>
      </c>
    </row>
    <row s="2850" customFormat="1" customHeight="1" ht="11.549999999999999">
      <c r="A46" s="1043"/>
      <c r="C46" s="1692"/>
      <c r="D46" s="630"/>
      <c r="E46" s="602" t="str">
        <f>FHD_NUM_P_10</f>
        <v>2.2.2</v>
      </c>
      <c r="F46" s="1706" t="str">
        <f>FHD_P_10</f>
        <v>Объём приобретения электрической энергии</v>
      </c>
      <c r="G46" s="1934" t="s">
        <v>705</v>
      </c>
      <c r="H46" s="613"/>
      <c r="I46" s="613"/>
      <c r="J46" s="345" t="str">
        <f>FHD_NOTE_P_10</f>
        <v/>
      </c>
      <c r="K46" s="1692" t="str">
        <f>IF((LEN(E46)-LEN(SUBSTITUTE(E46,".","")))/LEN(".")=1,"p","")</f>
        <v/>
      </c>
      <c r="L46" s="1692"/>
      <c r="M46" s="1692"/>
      <c r="R46" s="1692"/>
      <c r="U46" s="600"/>
      <c r="AA46" s="1688"/>
      <c r="AB46" s="1688"/>
      <c r="AC46" s="1688"/>
      <c r="AD46" s="1688"/>
      <c r="AE46" s="1688"/>
      <c r="AF46" s="1216">
        <v>11</v>
      </c>
    </row>
    <row s="2850" customFormat="1" customHeight="1" ht="11.25" hidden="1">
      <c r="A47" s="1045" t="s">
        <v>706</v>
      </c>
      <c r="C47" s="1692"/>
      <c r="D47" s="631"/>
      <c r="E47" s="602" t="str">
        <f>FHD_NUM_P_11</f>
        <v/>
      </c>
      <c r="F47" s="1580" t="str">
        <f>FHD_P_11</f>
        <v/>
      </c>
      <c r="G47" s="1934" t="s">
        <v>685</v>
      </c>
      <c r="H47" s="613"/>
      <c r="I47" s="613"/>
      <c r="J47" s="345" t="str">
        <f>FHD_NOTE_P_11</f>
        <v/>
      </c>
      <c r="K47" s="1692" t="str">
        <f>IF((LEN(E47)-LEN(SUBSTITUTE(E47,".","")))/LEN(".")=1,"p","")</f>
        <v/>
      </c>
      <c r="L47" s="1692"/>
      <c r="M47" s="1692"/>
      <c r="R47" s="1692"/>
      <c r="U47" s="600"/>
      <c r="AA47" s="1688"/>
      <c r="AB47" s="1688"/>
      <c r="AC47" s="1688"/>
      <c r="AD47" s="1688"/>
      <c r="AE47" s="1688"/>
      <c r="AF47" s="1216">
        <v>0</v>
      </c>
    </row>
    <row s="2850" customFormat="1" customHeight="1" ht="18.75">
      <c r="A48" s="1045" t="s">
        <v>707</v>
      </c>
      <c r="C48" s="1692"/>
      <c r="D48" s="1694"/>
      <c r="E48" s="602" t="str">
        <f>FHD_NUM_P_12</f>
        <v>2.3</v>
      </c>
      <c r="F48" s="1580" t="str">
        <f>FHD_P_12</f>
        <v>Расходы на химические реагенты, используемые в технологическом процессе</v>
      </c>
      <c r="G48" s="1934" t="s">
        <v>685</v>
      </c>
      <c r="H48" s="633"/>
      <c r="I48" s="633"/>
      <c r="J48" s="345" t="str">
        <f>FHD_NOTE_P_12</f>
        <v/>
      </c>
      <c r="K48" s="1692" t="str">
        <f>IF((LEN(E48)-LEN(SUBSTITUTE(E48,".","")))/LEN(".")=1,"p","")</f>
        <v>p</v>
      </c>
      <c r="L48" s="1692"/>
      <c r="M48" s="1692"/>
      <c r="R48" s="1692"/>
      <c r="U48" s="600"/>
      <c r="AA48" s="1688"/>
      <c r="AB48" s="1688"/>
      <c r="AC48" s="1688"/>
      <c r="AD48" s="1688"/>
      <c r="AE48" s="1688"/>
      <c r="AF48" s="1216">
        <v>18</v>
      </c>
    </row>
    <row s="3531" customFormat="1" customHeight="1" ht="11.549999999999999">
      <c r="A49" s="1044"/>
      <c r="C49" s="786"/>
      <c r="D49" s="729"/>
      <c r="E49" s="602" t="str">
        <f>FHD_NUM_P_13</f>
        <v>2.4</v>
      </c>
      <c r="F49" s="158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34" t="s">
        <v>685</v>
      </c>
      <c r="H49" s="613"/>
      <c r="I49" s="613"/>
      <c r="J49" s="345" t="str">
        <f>FHD_NOTE_P_13</f>
        <v>Указывается общая сумма расходов на оплату труда и отчислений на социальные нужды основного производственного персонала.</v>
      </c>
      <c r="K49" s="1692" t="str">
        <f>IF((LEN(E49)-LEN(SUBSTITUTE(E49,".","")))/LEN(".")=1,"p","")</f>
        <v>p</v>
      </c>
      <c r="L49" s="786"/>
      <c r="M49" s="786"/>
      <c r="R49" s="786"/>
      <c r="U49" s="787"/>
      <c r="AA49" s="788"/>
      <c r="AB49" s="788"/>
      <c r="AC49" s="788"/>
      <c r="AD49" s="788"/>
      <c r="AE49" s="788"/>
      <c r="AF49" s="785">
        <v>11</v>
      </c>
    </row>
    <row s="3531" customFormat="1" customHeight="1" ht="11.549999999999999">
      <c r="A50" s="1044"/>
      <c r="C50" s="786"/>
      <c r="D50" s="729"/>
      <c r="E50" s="602" t="str">
        <f>FHD_NUM_P_14</f>
        <v>2.4.1</v>
      </c>
      <c r="F50" s="1706" t="str">
        <f>FHD_P_14</f>
        <v>Расходы на оплату труда основного производственного персонала</v>
      </c>
      <c r="G50" s="1934" t="s">
        <v>685</v>
      </c>
      <c r="H50" s="613"/>
      <c r="I50" s="613"/>
      <c r="J50" s="345" t="str">
        <f>FHD_NOTE_P_14</f>
        <v/>
      </c>
      <c r="K50" s="1692" t="str">
        <f>IF((LEN(E50)-LEN(SUBSTITUTE(E50,".","")))/LEN(".")=1,"p","")</f>
        <v/>
      </c>
      <c r="L50" s="786"/>
      <c r="M50" s="786"/>
      <c r="R50" s="786"/>
      <c r="U50" s="787"/>
      <c r="AA50" s="788"/>
      <c r="AB50" s="788"/>
      <c r="AC50" s="788"/>
      <c r="AD50" s="788"/>
      <c r="AE50" s="788"/>
      <c r="AF50" s="785">
        <v>11</v>
      </c>
    </row>
    <row s="3531" customFormat="1" customHeight="1" ht="11.549999999999999">
      <c r="A51" s="1044"/>
      <c r="C51" s="786"/>
      <c r="D51" s="729"/>
      <c r="E51" s="602" t="str">
        <f>FHD_NUM_P_15</f>
        <v>2.4.2</v>
      </c>
      <c r="F51" s="1706" t="str">
        <f>FHD_P_15</f>
        <v>Страховые взносы на обязательное социальное страхование, выплачиваемые из фонда оплаты труда основного производственного персонала</v>
      </c>
      <c r="G51" s="1934" t="s">
        <v>685</v>
      </c>
      <c r="H51" s="613"/>
      <c r="I51" s="613"/>
      <c r="J51" s="345" t="str">
        <f>FHD_NOTE_P_15</f>
        <v/>
      </c>
      <c r="K51" s="1692" t="str">
        <f>IF((LEN(E51)-LEN(SUBSTITUTE(E51,".","")))/LEN(".")=1,"p","")</f>
        <v/>
      </c>
      <c r="L51" s="786"/>
      <c r="M51" s="786"/>
      <c r="R51" s="786"/>
      <c r="U51" s="787"/>
      <c r="AA51" s="788"/>
      <c r="AB51" s="788"/>
      <c r="AC51" s="788"/>
      <c r="AD51" s="788"/>
      <c r="AE51" s="788"/>
      <c r="AF51" s="785">
        <v>11</v>
      </c>
    </row>
    <row s="2850" customFormat="1" customHeight="1" ht="11.549999999999999">
      <c r="A52" s="1043"/>
      <c r="C52" s="1692"/>
      <c r="D52" s="1694"/>
      <c r="E52" s="602" t="str">
        <f>FHD_NUM_P_16</f>
        <v>2.5</v>
      </c>
      <c r="F52" s="158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34" t="s">
        <v>685</v>
      </c>
      <c r="H52" s="613"/>
      <c r="I52" s="613"/>
      <c r="J52" s="345" t="str">
        <f>FHD_NOTE_P_16</f>
        <v>Указывается общая сумма расходов на оплату труда и отчислений на социальные нужды административно-управленческого персонала.</v>
      </c>
      <c r="K52" s="1692" t="str">
        <f>IF((LEN(E52)-LEN(SUBSTITUTE(E52,".","")))/LEN(".")=1,"p","")</f>
        <v>p</v>
      </c>
      <c r="L52" s="1692"/>
      <c r="M52" s="1698"/>
      <c r="N52" s="593"/>
      <c r="O52" s="593"/>
      <c r="R52" s="1692"/>
      <c r="U52" s="600"/>
      <c r="AA52" s="1688"/>
      <c r="AB52" s="1688"/>
      <c r="AC52" s="1688"/>
      <c r="AD52" s="1688"/>
      <c r="AE52" s="1688"/>
      <c r="AF52" s="1216">
        <v>11</v>
      </c>
    </row>
    <row s="2850" customFormat="1" customHeight="1" ht="11.549999999999999">
      <c r="A53" s="1043"/>
      <c r="C53" s="1692"/>
      <c r="D53" s="1694"/>
      <c r="E53" s="602" t="str">
        <f>FHD_NUM_P_17</f>
        <v>2.5.1</v>
      </c>
      <c r="F53" s="1706" t="str">
        <f>FHD_P_17</f>
        <v>Расходы на оплату труда административно-управленческого персонала</v>
      </c>
      <c r="G53" s="1934" t="s">
        <v>685</v>
      </c>
      <c r="H53" s="613"/>
      <c r="I53" s="613"/>
      <c r="J53" s="345" t="str">
        <f>FHD_NOTE_P_17</f>
        <v/>
      </c>
      <c r="K53" s="1692" t="str">
        <f>IF((LEN(E53)-LEN(SUBSTITUTE(E53,".","")))/LEN(".")=1,"p","")</f>
        <v/>
      </c>
      <c r="L53" s="1692"/>
      <c r="M53" s="1698"/>
      <c r="N53" s="593"/>
      <c r="O53" s="593"/>
      <c r="R53" s="1692"/>
      <c r="U53" s="600"/>
      <c r="AA53" s="1688"/>
      <c r="AB53" s="1688"/>
      <c r="AC53" s="1688"/>
      <c r="AD53" s="1688"/>
      <c r="AE53" s="1688"/>
      <c r="AF53" s="1216">
        <v>11</v>
      </c>
    </row>
    <row s="2850" customFormat="1" customHeight="1" ht="11.549999999999999">
      <c r="A54" s="1043"/>
      <c r="C54" s="1692"/>
      <c r="D54" s="1694"/>
      <c r="E54" s="602" t="str">
        <f>FHD_NUM_P_18</f>
        <v>2.5.2</v>
      </c>
      <c r="F54" s="170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34" t="s">
        <v>685</v>
      </c>
      <c r="H54" s="613"/>
      <c r="I54" s="613"/>
      <c r="J54" s="345" t="str">
        <f>FHD_NOTE_P_18</f>
        <v/>
      </c>
      <c r="K54" s="1692" t="str">
        <f>IF((LEN(E54)-LEN(SUBSTITUTE(E54,".","")))/LEN(".")=1,"p","")</f>
        <v/>
      </c>
      <c r="L54" s="1692"/>
      <c r="M54" s="1698"/>
      <c r="N54" s="593"/>
      <c r="O54" s="593"/>
      <c r="R54" s="1692"/>
      <c r="U54" s="600"/>
      <c r="AA54" s="1688"/>
      <c r="AB54" s="1688"/>
      <c r="AC54" s="1688"/>
      <c r="AD54" s="1688"/>
      <c r="AE54" s="1688"/>
      <c r="AF54" s="1216">
        <v>11</v>
      </c>
    </row>
    <row s="2850" customFormat="1" customHeight="1" ht="11.549999999999999">
      <c r="A55" s="1043"/>
      <c r="C55" s="1692"/>
      <c r="D55" s="631"/>
      <c r="E55" s="602" t="str">
        <f>FHD_NUM_P_19</f>
        <v>2.6</v>
      </c>
      <c r="F55" s="1580" t="str">
        <f>FHD_P_19</f>
        <v>Расходы на амортизацию основных средств и нематериальных активов</v>
      </c>
      <c r="G55" s="1934" t="s">
        <v>685</v>
      </c>
      <c r="H55" s="613"/>
      <c r="I55" s="613"/>
      <c r="J55" s="345" t="str">
        <f>FHD_NOTE_P_19</f>
        <v/>
      </c>
      <c r="K55" s="1692" t="str">
        <f>IF((LEN(E55)-LEN(SUBSTITUTE(E55,".","")))/LEN(".")=1,"p","")</f>
        <v>p</v>
      </c>
      <c r="L55" s="1692"/>
      <c r="M55" s="1692"/>
      <c r="R55" s="1692"/>
      <c r="U55" s="600"/>
      <c r="AA55" s="1688"/>
      <c r="AB55" s="1688"/>
      <c r="AC55" s="1688"/>
      <c r="AD55" s="1688"/>
      <c r="AE55" s="1688"/>
      <c r="AF55" s="1216">
        <v>11</v>
      </c>
    </row>
    <row s="2850" customFormat="1" customHeight="1" ht="11.549999999999999">
      <c r="A56" s="1043"/>
      <c r="C56" s="1692"/>
      <c r="D56" s="631"/>
      <c r="E56" s="602" t="str">
        <f>FHD_NUM_P_20</f>
        <v>2.6.1</v>
      </c>
      <c r="F56" s="1706" t="str">
        <f>FHD_P_20</f>
        <v>Расходы на амортизацию основных средств</v>
      </c>
      <c r="G56" s="1934" t="s">
        <v>685</v>
      </c>
      <c r="H56" s="613"/>
      <c r="I56" s="613"/>
      <c r="J56" s="345" t="str">
        <f>FHD_NOTE_P_20</f>
        <v/>
      </c>
      <c r="K56" s="1692" t="str">
        <f>IF((LEN(E56)-LEN(SUBSTITUTE(E56,".","")))/LEN(".")=1,"p","")</f>
        <v/>
      </c>
      <c r="L56" s="1692"/>
      <c r="M56" s="1692"/>
      <c r="R56" s="1692"/>
      <c r="U56" s="600"/>
      <c r="AA56" s="1688"/>
      <c r="AB56" s="1688"/>
      <c r="AC56" s="1688"/>
      <c r="AD56" s="1688"/>
      <c r="AE56" s="1688"/>
      <c r="AF56" s="1216">
        <v>11</v>
      </c>
    </row>
    <row s="2850" customFormat="1" customHeight="1" ht="11.549999999999999">
      <c r="A57" s="1043"/>
      <c r="C57" s="1692"/>
      <c r="D57" s="631"/>
      <c r="E57" s="602" t="str">
        <f>FHD_NUM_P_21</f>
        <v>2.6.2</v>
      </c>
      <c r="F57" s="1706" t="str">
        <f>FHD_P_21</f>
        <v>Расходы на амортизацию нематериальных активов</v>
      </c>
      <c r="G57" s="1934" t="s">
        <v>685</v>
      </c>
      <c r="H57" s="613"/>
      <c r="I57" s="613"/>
      <c r="J57" s="345" t="str">
        <f>FHD_NOTE_P_21</f>
        <v/>
      </c>
      <c r="K57" s="1692" t="str">
        <f>IF((LEN(E57)-LEN(SUBSTITUTE(E57,".","")))/LEN(".")=1,"p","")</f>
        <v/>
      </c>
      <c r="L57" s="1692"/>
      <c r="M57" s="1692"/>
      <c r="R57" s="1692"/>
      <c r="U57" s="600"/>
      <c r="AA57" s="1688"/>
      <c r="AB57" s="1688"/>
      <c r="AC57" s="1688"/>
      <c r="AD57" s="1688"/>
      <c r="AE57" s="1688"/>
      <c r="AF57" s="1216">
        <v>11</v>
      </c>
    </row>
    <row s="2850" customFormat="1" customHeight="1" ht="11.549999999999999">
      <c r="A58" s="1043"/>
      <c r="C58" s="1692"/>
      <c r="D58" s="1694"/>
      <c r="E58" s="602" t="str">
        <f>FHD_NUM_P_22</f>
        <v>2.7</v>
      </c>
      <c r="F58" s="1580" t="str">
        <f>FHD_P_22</f>
        <v>Расходы на аренду имущества, используемого для осуществления регулируемых видов деятельности в сфере холодного водоснабжения</v>
      </c>
      <c r="G58" s="1934" t="s">
        <v>685</v>
      </c>
      <c r="H58" s="613"/>
      <c r="I58" s="613"/>
      <c r="J58" s="345" t="str">
        <f>FHD_NOTE_P_22</f>
        <v/>
      </c>
      <c r="K58" s="1692" t="str">
        <f>IF((LEN(E58)-LEN(SUBSTITUTE(E58,".","")))/LEN(".")=1,"p","")</f>
        <v>p</v>
      </c>
      <c r="L58" s="1692"/>
      <c r="M58" s="1692"/>
      <c r="R58" s="1692"/>
      <c r="U58" s="600"/>
      <c r="AA58" s="1688"/>
      <c r="AB58" s="1688"/>
      <c r="AC58" s="1688"/>
      <c r="AD58" s="1688"/>
      <c r="AE58" s="1688"/>
      <c r="AF58" s="1216">
        <v>11</v>
      </c>
    </row>
    <row s="2850" customFormat="1" customHeight="1" ht="11.549999999999999">
      <c r="A59" s="1043"/>
      <c r="C59" s="1692"/>
      <c r="D59" s="631"/>
      <c r="E59" s="602" t="str">
        <f>FHD_NUM_P_23</f>
        <v>2.8</v>
      </c>
      <c r="F59" s="1580" t="str">
        <f>FHD_P_23</f>
        <v>Общепроизводственные расходы, в том числе:</v>
      </c>
      <c r="G59" s="1934" t="s">
        <v>685</v>
      </c>
      <c r="H59" s="613"/>
      <c r="I59" s="613"/>
      <c r="J59" s="345" t="str">
        <f>FHD_NOTE_P_23</f>
        <v>Указывается общая сумма общепроизводственных расходов.</v>
      </c>
      <c r="K59" s="1692" t="str">
        <f>IF((LEN(E59)-LEN(SUBSTITUTE(E59,".","")))/LEN(".")=1,"p","")</f>
        <v>p</v>
      </c>
      <c r="L59" s="1692"/>
      <c r="M59" s="1692"/>
      <c r="R59" s="1692"/>
      <c r="U59" s="600"/>
      <c r="AA59" s="1688"/>
      <c r="AB59" s="1688"/>
      <c r="AC59" s="1688"/>
      <c r="AD59" s="1688"/>
      <c r="AE59" s="1688"/>
      <c r="AF59" s="1216">
        <v>11</v>
      </c>
    </row>
    <row s="2850" customFormat="1" customHeight="1" ht="11.549999999999999">
      <c r="A60" s="1043"/>
      <c r="C60" s="1692"/>
      <c r="D60" s="631"/>
      <c r="E60" s="602" t="str">
        <f>FHD_NUM_P_24</f>
        <v>2.8.1</v>
      </c>
      <c r="F60" s="1706" t="str">
        <f>FHD_P_24</f>
        <v>Расходы на текущий ремонт</v>
      </c>
      <c r="G60" s="1934" t="s">
        <v>685</v>
      </c>
      <c r="H60" s="613"/>
      <c r="I60" s="613"/>
      <c r="J60" s="345" t="str">
        <f>FHD_NOTE_P_24</f>
        <v>Указываются расходы на текущий ремонт, отнесенные к общепроизводственным расходам.</v>
      </c>
      <c r="K60" s="1692" t="str">
        <f>IF((LEN(E60)-LEN(SUBSTITUTE(E60,".","")))/LEN(".")=1,"p","")</f>
        <v/>
      </c>
      <c r="L60" s="1692"/>
      <c r="M60" s="1692"/>
      <c r="R60" s="1692"/>
      <c r="U60" s="600"/>
      <c r="AA60" s="1688"/>
      <c r="AB60" s="1688"/>
      <c r="AC60" s="1688"/>
      <c r="AD60" s="1688"/>
      <c r="AE60" s="1688"/>
      <c r="AF60" s="1216">
        <v>11</v>
      </c>
    </row>
    <row s="2850" customFormat="1" customHeight="1" ht="11.549999999999999">
      <c r="A61" s="1043"/>
      <c r="C61" s="1692"/>
      <c r="D61" s="631"/>
      <c r="E61" s="602" t="str">
        <f>FHD_NUM_P_25</f>
        <v>2.8.2</v>
      </c>
      <c r="F61" s="1706" t="str">
        <f>FHD_P_25</f>
        <v>Расходы на капитальный ремонт</v>
      </c>
      <c r="G61" s="1934" t="s">
        <v>685</v>
      </c>
      <c r="H61" s="613"/>
      <c r="I61" s="613"/>
      <c r="J61" s="345" t="str">
        <f>FHD_NOTE_P_25</f>
        <v>Указываются расходы на капитальный ремонт, отнесенные к общепроизводственным расходам.</v>
      </c>
      <c r="K61" s="1692" t="str">
        <f>IF((LEN(E61)-LEN(SUBSTITUTE(E61,".","")))/LEN(".")=1,"p","")</f>
        <v/>
      </c>
      <c r="L61" s="1692"/>
      <c r="M61" s="1692"/>
      <c r="R61" s="1692"/>
      <c r="U61" s="600"/>
      <c r="AA61" s="1688"/>
      <c r="AB61" s="1688"/>
      <c r="AC61" s="1688"/>
      <c r="AD61" s="1688"/>
      <c r="AE61" s="1688"/>
      <c r="AF61" s="1216">
        <v>11</v>
      </c>
    </row>
    <row s="2850" customFormat="1" customHeight="1" ht="11.549999999999999">
      <c r="A62" s="1043"/>
      <c r="C62" s="1692"/>
      <c r="D62" s="1694"/>
      <c r="E62" s="602" t="str">
        <f>FHD_NUM_P_26</f>
        <v>2.9</v>
      </c>
      <c r="F62" s="1580" t="str">
        <f>FHD_P_26</f>
        <v>Общехозяйственные расходы, в том числе:</v>
      </c>
      <c r="G62" s="1934" t="s">
        <v>685</v>
      </c>
      <c r="H62" s="613"/>
      <c r="I62" s="613"/>
      <c r="J62" s="345" t="str">
        <f>FHD_NOTE_P_26</f>
        <v>Указывается общая сумма общехозяйственных расходов.</v>
      </c>
      <c r="K62" s="1692" t="str">
        <f>IF((LEN(E62)-LEN(SUBSTITUTE(E62,".","")))/LEN(".")=1,"p","")</f>
        <v>p</v>
      </c>
      <c r="L62" s="1692"/>
      <c r="M62" s="1692"/>
      <c r="R62" s="1692"/>
      <c r="U62" s="600"/>
      <c r="AA62" s="1688"/>
      <c r="AB62" s="1688"/>
      <c r="AC62" s="1688"/>
      <c r="AD62" s="1688"/>
      <c r="AE62" s="1688"/>
      <c r="AF62" s="1216">
        <v>11</v>
      </c>
    </row>
    <row s="2850" customFormat="1" customHeight="1" ht="11.549999999999999">
      <c r="A63" s="1043"/>
      <c r="C63" s="1692"/>
      <c r="D63" s="1694"/>
      <c r="E63" s="602" t="str">
        <f>FHD_NUM_P_27</f>
        <v>2.9.1</v>
      </c>
      <c r="F63" s="1706" t="str">
        <f>FHD_P_27</f>
        <v>Расходы на текущий ремонт</v>
      </c>
      <c r="G63" s="1934" t="s">
        <v>685</v>
      </c>
      <c r="H63" s="613"/>
      <c r="I63" s="613"/>
      <c r="J63" s="345" t="str">
        <f>FHD_NOTE_P_27</f>
        <v>Указываются расходы на текущий ремонт, отнесенные к общехозяйственным расходам.</v>
      </c>
      <c r="K63" s="1692" t="str">
        <f>IF((LEN(E63)-LEN(SUBSTITUTE(E63,".","")))/LEN(".")=1,"p","")</f>
        <v/>
      </c>
      <c r="L63" s="1692"/>
      <c r="M63" s="1692"/>
      <c r="R63" s="1692"/>
      <c r="U63" s="600"/>
      <c r="AA63" s="1688"/>
      <c r="AB63" s="1688"/>
      <c r="AC63" s="1688"/>
      <c r="AD63" s="1688"/>
      <c r="AE63" s="1688"/>
      <c r="AF63" s="1216">
        <v>11</v>
      </c>
    </row>
    <row s="2850" customFormat="1" customHeight="1" ht="11.549999999999999">
      <c r="A64" s="1043"/>
      <c r="C64" s="1692"/>
      <c r="D64" s="1694"/>
      <c r="E64" s="602" t="str">
        <f>FHD_NUM_P_28</f>
        <v>2.9.2</v>
      </c>
      <c r="F64" s="1706" t="str">
        <f>FHD_P_28</f>
        <v>Расходы на капитальный ремонт</v>
      </c>
      <c r="G64" s="1934" t="s">
        <v>685</v>
      </c>
      <c r="H64" s="613"/>
      <c r="I64" s="613"/>
      <c r="J64" s="345" t="str">
        <f>FHD_NOTE_P_28</f>
        <v>Указываются расходы на капитальный ремонт, отнесенные к общехозяйственным расходам.</v>
      </c>
      <c r="K64" s="1692" t="str">
        <f>IF((LEN(E64)-LEN(SUBSTITUTE(E64,".","")))/LEN(".")=1,"p","")</f>
        <v/>
      </c>
      <c r="L64" s="1692"/>
      <c r="M64" s="1692"/>
      <c r="R64" s="1692"/>
      <c r="U64" s="600"/>
      <c r="AA64" s="1688"/>
      <c r="AB64" s="1688"/>
      <c r="AC64" s="1688"/>
      <c r="AD64" s="1688"/>
      <c r="AE64" s="1688"/>
      <c r="AF64" s="1216">
        <v>11</v>
      </c>
    </row>
    <row s="2850" customFormat="1" customHeight="1" ht="11.549999999999999">
      <c r="A65" s="1043"/>
      <c r="C65" s="1692"/>
      <c r="D65" s="1694"/>
      <c r="E65" s="602" t="str">
        <f>FHD_NUM_P_29</f>
        <v>2.10</v>
      </c>
      <c r="F65" s="1580" t="str">
        <f>FHD_P_29</f>
        <v>Расходы на капитальный и текущий ремонт основных средств</v>
      </c>
      <c r="G65" s="1934" t="s">
        <v>685</v>
      </c>
      <c r="H65" s="613"/>
      <c r="I65" s="613"/>
      <c r="J65" s="34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92" t="str">
        <f>IF((LEN(E65)-LEN(SUBSTITUTE(E65,".","")))/LEN(".")=1,"p","")</f>
        <v>p</v>
      </c>
      <c r="L65" s="1692"/>
      <c r="M65" s="1692"/>
      <c r="R65" s="1692"/>
      <c r="U65" s="600"/>
      <c r="AA65" s="1688"/>
      <c r="AB65" s="1688"/>
      <c r="AC65" s="1688"/>
      <c r="AD65" s="1688"/>
      <c r="AE65" s="1688"/>
      <c r="AF65" s="1216">
        <v>11</v>
      </c>
    </row>
    <row s="2850" customFormat="1" customHeight="1" ht="11.549999999999999">
      <c r="A66" s="1043"/>
      <c r="C66" s="1692"/>
      <c r="D66" s="1694"/>
      <c r="E66" s="602" t="str">
        <f>FHD_NUM_P_30</f>
        <v>2.10.1</v>
      </c>
      <c r="F66" s="170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34" t="s">
        <v>438</v>
      </c>
      <c r="H66" s="1705" t="s">
        <v>708</v>
      </c>
      <c r="I66" s="1705" t="s">
        <v>708</v>
      </c>
      <c r="J66" s="345" t="str">
        <f>FHD_NOTE_P_30</f>
        <v/>
      </c>
      <c r="K66" s="1692" t="str">
        <f>IF((LEN(E66)-LEN(SUBSTITUTE(E66,".","")))/LEN(".")=1,"p","")</f>
        <v/>
      </c>
      <c r="L66" s="1692">
        <f>_xlfn.IFERROR(MATCH("есть",B_FHD_FLAG_INDEX_1,0),0)</f>
        <v>0</v>
      </c>
      <c r="M66" s="1692"/>
      <c r="R66" s="1692"/>
      <c r="U66" s="600"/>
      <c r="AA66" s="1688"/>
      <c r="AB66" s="1688"/>
      <c r="AC66" s="1688"/>
      <c r="AD66" s="1688"/>
      <c r="AE66" s="1688"/>
      <c r="AF66" s="1216">
        <v>11</v>
      </c>
    </row>
    <row s="2850" customFormat="1" customHeight="1" ht="23.25">
      <c r="A67" s="2427" t="s">
        <v>709</v>
      </c>
      <c r="C67" s="1692"/>
      <c r="D67" s="1694"/>
      <c r="E67" s="602" t="str">
        <f>FHD_NUM_P_31</f>
        <v>2.11</v>
      </c>
      <c r="F67" s="158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934" t="s">
        <v>685</v>
      </c>
      <c r="H67" s="613"/>
      <c r="I67" s="613"/>
      <c r="J67" s="34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92" t="str">
        <f>IF((LEN(E67)-LEN(SUBSTITUTE(E67,".","")))/LEN(".")=1,"p","")</f>
        <v>p</v>
      </c>
      <c r="L67" s="1692"/>
      <c r="M67" s="1692"/>
      <c r="R67" s="1692"/>
      <c r="U67" s="600"/>
      <c r="AA67" s="1688"/>
      <c r="AB67" s="1688"/>
      <c r="AC67" s="1688"/>
      <c r="AD67" s="1688"/>
      <c r="AE67" s="1688"/>
      <c r="AF67" s="1216">
        <v>22</v>
      </c>
    </row>
    <row s="2850" customFormat="1" customHeight="1" ht="47.25">
      <c r="A68" s="2427"/>
      <c r="C68" s="1692"/>
      <c r="D68" s="1694"/>
      <c r="E68" s="602" t="str">
        <f>FHD_NUM_P_32</f>
        <v>2.11.1</v>
      </c>
      <c r="F68" s="170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934" t="s">
        <v>438</v>
      </c>
      <c r="H68" s="1705" t="s">
        <v>708</v>
      </c>
      <c r="I68" s="1705" t="s">
        <v>708</v>
      </c>
      <c r="J68" s="345" t="str">
        <f>FHD_NOTE_P_32</f>
        <v/>
      </c>
      <c r="K68" s="1692" t="str">
        <f>IF((LEN(E68)-LEN(SUBSTITUTE(E68,".","")))/LEN(".")=1,"p","")</f>
        <v/>
      </c>
      <c r="L68" s="1692">
        <f>_xlfn.IFERROR(MATCH("есть",B_FHD_FLAG_INDEX_2,0),0)</f>
        <v>0</v>
      </c>
      <c r="M68" s="1692"/>
      <c r="R68" s="1692"/>
      <c r="U68" s="600"/>
      <c r="AA68" s="1688"/>
      <c r="AB68" s="1688"/>
      <c r="AC68" s="1688"/>
      <c r="AD68" s="1688"/>
      <c r="AE68" s="1688"/>
      <c r="AF68" s="1216">
        <v>45</v>
      </c>
    </row>
    <row s="2850" customFormat="1" customHeight="1" ht="11.549999999999999">
      <c r="A69" s="1043"/>
      <c r="C69" s="1692"/>
      <c r="D69" s="1694"/>
      <c r="E69" s="602" t="str">
        <f>FHD_NUM_P_33</f>
        <v>2.12</v>
      </c>
      <c r="F69" s="1580"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935" t="s">
        <v>685</v>
      </c>
      <c r="H69" s="635">
        <f>SUM(H70:H71)</f>
        <v>0</v>
      </c>
      <c r="I69" s="635">
        <f>SUM(I70:I71)</f>
        <v>0</v>
      </c>
      <c r="J69" s="34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92" t="str">
        <f>IF((LEN(E69)-LEN(SUBSTITUTE(E69,".","")))/LEN(".")=1,"p","")</f>
        <v>p</v>
      </c>
      <c r="L69" s="1692"/>
      <c r="M69" s="1692"/>
      <c r="R69" s="1692"/>
      <c r="U69" s="600"/>
      <c r="AA69" s="1688"/>
      <c r="AB69" s="1688"/>
      <c r="AC69" s="1688"/>
      <c r="AD69" s="1688"/>
      <c r="AE69" s="1688"/>
      <c r="AF69" s="1216">
        <v>11</v>
      </c>
    </row>
    <row s="2851" customFormat="1" customHeight="1" ht="1.05">
      <c r="A70" s="1223"/>
      <c r="D70" s="604"/>
      <c r="E70" s="1069" t="str">
        <f>E69&amp;".0"</f>
        <v>2.12.0</v>
      </c>
      <c r="F70" s="1047"/>
      <c r="G70" s="1069"/>
      <c r="H70" s="1048"/>
      <c r="I70" s="1048"/>
      <c r="J70" s="1049"/>
      <c r="K70" s="1692" t="str">
        <f>IF((LEN(E70)-LEN(SUBSTITUTE(E70,".","")))/LEN(".")=1,"p","")</f>
        <v/>
      </c>
      <c r="AF70" s="1692">
        <v>1</v>
      </c>
    </row>
    <row s="2850" customFormat="1" customHeight="1" ht="14.699999999999998">
      <c r="A71" s="1043"/>
      <c r="C71" s="1692"/>
      <c r="D71" s="1689"/>
      <c r="E71" s="626"/>
      <c r="F71" s="627" t="s">
        <v>710</v>
      </c>
      <c r="G71" s="628"/>
      <c r="H71" s="629"/>
      <c r="I71" s="629"/>
      <c r="J71" s="357"/>
      <c r="K71" s="1692"/>
      <c r="L71" s="1692"/>
      <c r="M71" s="1692"/>
      <c r="R71" s="1692"/>
      <c r="U71" s="600"/>
      <c r="AA71" s="1688"/>
      <c r="AB71" s="1688"/>
      <c r="AC71" s="1688"/>
      <c r="AD71" s="1688"/>
      <c r="AE71" s="1688"/>
      <c r="AF71" s="1216">
        <v>14</v>
      </c>
    </row>
    <row s="2850" customFormat="1" customHeight="1" ht="18.75" hidden="1">
      <c r="A72" s="1045" t="s">
        <v>711</v>
      </c>
      <c r="C72" s="1692"/>
      <c r="D72" s="1694"/>
      <c r="E72" s="602" t="str">
        <f>FHD_NUM_P_34</f>
        <v/>
      </c>
      <c r="F72" s="1936" t="str">
        <f>FHD_P_34</f>
        <v/>
      </c>
      <c r="G72" s="1934" t="s">
        <v>685</v>
      </c>
      <c r="H72" s="613"/>
      <c r="I72" s="613"/>
      <c r="J72" s="345" t="str">
        <f>FHD_NOTE_P_34</f>
        <v/>
      </c>
      <c r="K72" s="599"/>
      <c r="L72" s="1692"/>
      <c r="M72" s="1692"/>
      <c r="R72" s="1692"/>
      <c r="U72" s="600"/>
      <c r="AA72" s="1688"/>
      <c r="AB72" s="1688"/>
      <c r="AC72" s="1688"/>
      <c r="AD72" s="1688"/>
      <c r="AE72" s="1688"/>
      <c r="AF72" s="1216">
        <v>0</v>
      </c>
    </row>
    <row s="2850" customFormat="1" customHeight="1" ht="19.95">
      <c r="A73" s="1043"/>
      <c r="C73" s="1692"/>
      <c r="D73" s="631"/>
      <c r="E73" s="602" t="str">
        <f>FHD_NUM_P_35</f>
        <v>3</v>
      </c>
      <c r="F73" s="1936" t="str">
        <f>FHD_P_35</f>
        <v>Чистая прибыль, полученная от регулируемого вида деятельности в сфере холодного водоснабжения, в том числе:</v>
      </c>
      <c r="G73" s="1934" t="s">
        <v>685</v>
      </c>
      <c r="H73" s="613"/>
      <c r="I73" s="613"/>
      <c r="J73" s="345" t="str">
        <f>FHD_NOTE_P_35</f>
        <v>Указывается общая сумма чистой прибыли, полученной от регулируемого вида деятельности.</v>
      </c>
      <c r="K73" s="599"/>
      <c r="L73" s="1692"/>
      <c r="M73" s="1692"/>
      <c r="R73" s="1692"/>
      <c r="U73" s="600"/>
      <c r="AA73" s="1688"/>
      <c r="AB73" s="1688"/>
      <c r="AC73" s="1688"/>
      <c r="AD73" s="1688"/>
      <c r="AE73" s="1688"/>
      <c r="AF73" s="1216">
        <v>19</v>
      </c>
    </row>
    <row s="2850" customFormat="1" customHeight="1" ht="19.95">
      <c r="A74" s="1043"/>
      <c r="C74" s="1692"/>
      <c r="D74" s="1694"/>
      <c r="E74" s="602" t="str">
        <f>FHD_NUM_P_36</f>
        <v>3.1</v>
      </c>
      <c r="F74" s="158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34" t="s">
        <v>685</v>
      </c>
      <c r="H74" s="613"/>
      <c r="I74" s="613"/>
      <c r="J74" s="345" t="str">
        <f>FHD_NOTE_P_36</f>
        <v/>
      </c>
      <c r="K74" s="599"/>
      <c r="L74" s="1692"/>
      <c r="M74" s="1692"/>
      <c r="R74" s="1692"/>
      <c r="U74" s="600"/>
      <c r="AA74" s="1688"/>
      <c r="AB74" s="1688"/>
      <c r="AC74" s="1688"/>
      <c r="AD74" s="1688"/>
      <c r="AE74" s="1688"/>
      <c r="AF74" s="1216">
        <v>19</v>
      </c>
    </row>
    <row s="2850" customFormat="1" customHeight="1" ht="19.95">
      <c r="A75" s="1043"/>
      <c r="C75" s="1692"/>
      <c r="D75" s="1694"/>
      <c r="E75" s="602" t="str">
        <f>FHD_NUM_P_37</f>
        <v>4</v>
      </c>
      <c r="F75" s="1936" t="str">
        <f>FHD_P_37</f>
        <v>Изменение стоимости основных фондов, в том числе:</v>
      </c>
      <c r="G75" s="1934" t="s">
        <v>685</v>
      </c>
      <c r="H75" s="613"/>
      <c r="I75" s="613"/>
      <c r="J75" s="345" t="str">
        <f>FHD_NOTE_P_37</f>
        <v>Указывается общее изменение стоимости основных фондов.</v>
      </c>
      <c r="K75" s="599"/>
      <c r="L75" s="1692"/>
      <c r="M75" s="1692"/>
      <c r="R75" s="1692"/>
      <c r="U75" s="600"/>
      <c r="AA75" s="1688"/>
      <c r="AB75" s="1688"/>
      <c r="AC75" s="1688"/>
      <c r="AD75" s="1688"/>
      <c r="AE75" s="1688"/>
      <c r="AF75" s="1216">
        <v>19</v>
      </c>
    </row>
    <row s="2850" customFormat="1" customHeight="1" ht="19.95">
      <c r="A76" s="1043"/>
      <c r="C76" s="1692"/>
      <c r="D76" s="1694"/>
      <c r="E76" s="602" t="str">
        <f>FHD_NUM_P_38</f>
        <v>4.1</v>
      </c>
      <c r="F76" s="1580" t="str">
        <f>FHD_P_38</f>
        <v>Изменение стоимости основных фондов за счет их ввода в эксплуатацию (вывода из эксплуатации)</v>
      </c>
      <c r="G76" s="1934" t="s">
        <v>685</v>
      </c>
      <c r="H76" s="613"/>
      <c r="I76" s="613"/>
      <c r="J76" s="345" t="str">
        <f>FHD_NOTE_P_38</f>
        <v>Указываются общее изменение стоимости основных фондов за счет их ввода в эксплуатацию и вывода из эксплуатации.</v>
      </c>
      <c r="K76" s="599"/>
      <c r="L76" s="1692"/>
      <c r="M76" s="1692"/>
      <c r="R76" s="1692"/>
      <c r="U76" s="600"/>
      <c r="AA76" s="1688"/>
      <c r="AB76" s="1688"/>
      <c r="AC76" s="1688"/>
      <c r="AD76" s="1688"/>
      <c r="AE76" s="1688"/>
      <c r="AF76" s="1216">
        <v>19</v>
      </c>
    </row>
    <row s="2850" customFormat="1" customHeight="1" ht="19.95">
      <c r="A77" s="1043"/>
      <c r="C77" s="1692"/>
      <c r="D77" s="1694"/>
      <c r="E77" s="602" t="str">
        <f>FHD_NUM_P_39</f>
        <v>4.1.1</v>
      </c>
      <c r="F77" s="1706" t="str">
        <f>FHD_P_39</f>
        <v>Изменение стоимости основных фондов за счет их ввода в эксплуатацию</v>
      </c>
      <c r="G77" s="2128" t="s">
        <v>685</v>
      </c>
      <c r="H77" s="613"/>
      <c r="I77" s="613"/>
      <c r="J77" s="345" t="str">
        <f>FHD_NOTE_P_39</f>
        <v>Указываются изменение стоимости основных фондов за счет их ввода в эксплуатацию.</v>
      </c>
      <c r="K77" s="599"/>
      <c r="L77" s="1692"/>
      <c r="M77" s="1692"/>
      <c r="R77" s="1692"/>
      <c r="U77" s="600"/>
      <c r="AA77" s="1688"/>
      <c r="AB77" s="1688"/>
      <c r="AC77" s="1688"/>
      <c r="AD77" s="1688"/>
      <c r="AE77" s="1688"/>
      <c r="AF77" s="1216">
        <v>19</v>
      </c>
    </row>
    <row s="2850" customFormat="1" customHeight="1" ht="19.95">
      <c r="A78" s="1043"/>
      <c r="C78" s="1692"/>
      <c r="D78" s="1694"/>
      <c r="E78" s="602" t="str">
        <f>FHD_NUM_P_40</f>
        <v>4.1.2</v>
      </c>
      <c r="F78" s="2132" t="str">
        <f>FHD_P_40</f>
        <v>Изменение стоимости основных фондов за счет их вывода в эксплуатацию</v>
      </c>
      <c r="G78" s="2127" t="s">
        <v>685</v>
      </c>
      <c r="H78" s="1032"/>
      <c r="I78" s="613"/>
      <c r="J78" s="345" t="str">
        <f>FHD_NOTE_P_40</f>
        <v>Указываются изменение стоимости основных фондов за счет их вывода из эксплуатации.</v>
      </c>
      <c r="K78" s="599"/>
      <c r="L78" s="1692"/>
      <c r="M78" s="1692"/>
      <c r="R78" s="1692"/>
      <c r="U78" s="600"/>
      <c r="AA78" s="1688"/>
      <c r="AB78" s="1688"/>
      <c r="AC78" s="1688"/>
      <c r="AD78" s="1688"/>
      <c r="AE78" s="1688"/>
      <c r="AF78" s="1216">
        <v>19</v>
      </c>
    </row>
    <row s="2850" customFormat="1" customHeight="1" ht="19.95">
      <c r="A79" s="1043"/>
      <c r="C79" s="1692"/>
      <c r="D79" s="1694"/>
      <c r="E79" s="602" t="str">
        <f>FHD_NUM_P_41</f>
        <v>4.2</v>
      </c>
      <c r="F79" s="2131" t="str">
        <f>FHD_P_41</f>
        <v>Изменение стоимости основных фондов за счет их переоценки</v>
      </c>
      <c r="G79" s="2127" t="s">
        <v>685</v>
      </c>
      <c r="H79" s="1032"/>
      <c r="I79" s="613"/>
      <c r="J79" s="345" t="str">
        <f>FHD_NOTE_P_41</f>
        <v/>
      </c>
      <c r="K79" s="599"/>
      <c r="L79" s="1692"/>
      <c r="M79" s="1692"/>
      <c r="R79" s="1692"/>
      <c r="U79" s="600"/>
      <c r="AA79" s="1688"/>
      <c r="AB79" s="1688"/>
      <c r="AC79" s="1688"/>
      <c r="AD79" s="1688"/>
      <c r="AE79" s="1688"/>
      <c r="AF79" s="1216">
        <v>19</v>
      </c>
    </row>
    <row s="2850" customFormat="1" customHeight="1" ht="19.95">
      <c r="A80" s="1045" t="s">
        <v>712</v>
      </c>
      <c r="C80" s="1692"/>
      <c r="D80" s="1694"/>
      <c r="E80" s="602" t="str">
        <f>FHD_NUM_P_42</f>
        <v>5</v>
      </c>
      <c r="F80" s="2129" t="str">
        <f>FHD_P_42</f>
        <v>Валовая прибыль (убытки) от продажи товаров и услуг по регулируемым видам деятельности в сфере холодного водоснабжения</v>
      </c>
      <c r="G80" s="2127" t="s">
        <v>685</v>
      </c>
      <c r="H80" s="1032"/>
      <c r="I80" s="613"/>
      <c r="J80" s="345" t="str">
        <f>FHD_NOTE_P_42</f>
        <v/>
      </c>
      <c r="K80" s="599"/>
      <c r="L80" s="1692"/>
      <c r="M80" s="1692"/>
      <c r="R80" s="1692"/>
      <c r="U80" s="600"/>
      <c r="AA80" s="1688"/>
      <c r="AB80" s="1688"/>
      <c r="AC80" s="1688"/>
      <c r="AD80" s="1688"/>
      <c r="AE80" s="1688"/>
      <c r="AF80" s="1216">
        <v>19</v>
      </c>
    </row>
    <row s="2850" customFormat="1" customHeight="1" ht="19.95">
      <c r="A81" s="1043"/>
      <c r="C81" s="1692"/>
      <c r="D81" s="1694"/>
      <c r="E81" s="602" t="str">
        <f>FHD_NUM_P_43</f>
        <v>6</v>
      </c>
      <c r="F81" s="1936" t="str">
        <f>FHD_P_43</f>
        <v>Годовая бухгалтерская (финансовая) отчетность, включая бухгалтерский баланс и приложения к нему</v>
      </c>
      <c r="G81" s="2130" t="s">
        <v>438</v>
      </c>
      <c r="H81" s="1111"/>
      <c r="I81" s="874"/>
      <c r="J81" s="345"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599"/>
      <c r="L81" s="1692"/>
      <c r="M81" s="1692"/>
      <c r="R81" s="1692"/>
      <c r="U81" s="600"/>
      <c r="AA81" s="1688"/>
      <c r="AB81" s="1688"/>
      <c r="AC81" s="1688"/>
      <c r="AD81" s="1688"/>
      <c r="AE81" s="1688"/>
      <c r="AF81" s="1216">
        <v>19</v>
      </c>
    </row>
    <row s="2850" customFormat="1" customHeight="1" ht="18.75">
      <c r="A82" s="2427" t="s">
        <v>713</v>
      </c>
      <c r="C82" s="791"/>
      <c r="D82" s="789"/>
      <c r="E82" s="602" t="str">
        <f>FHD_NUM_P_44</f>
        <v>7</v>
      </c>
      <c r="F82" s="1936" t="str">
        <f>FHD_P_44</f>
        <v>Объём поднятой воды</v>
      </c>
      <c r="G82" s="1937" t="s">
        <v>714</v>
      </c>
      <c r="H82" s="1033"/>
      <c r="I82" s="633"/>
      <c r="J82" s="345" t="str">
        <f>FHD_NOTE_P_44</f>
        <v/>
      </c>
      <c r="K82" s="790"/>
      <c r="L82" s="791"/>
      <c r="M82" s="791"/>
      <c r="R82" s="791"/>
      <c r="U82" s="792"/>
      <c r="AA82" s="793"/>
      <c r="AB82" s="793"/>
      <c r="AC82" s="793"/>
      <c r="AD82" s="793"/>
      <c r="AE82" s="793"/>
      <c r="AF82" s="966">
        <v>0</v>
      </c>
    </row>
    <row s="2850" customFormat="1" customHeight="1" ht="18.75">
      <c r="A83" s="2427"/>
      <c r="C83" s="791"/>
      <c r="D83" s="789"/>
      <c r="E83" s="602" t="str">
        <f>FHD_NUM_P_45</f>
        <v>8</v>
      </c>
      <c r="F83" s="1936" t="str">
        <f>FHD_P_45</f>
        <v>Объём покупной воды</v>
      </c>
      <c r="G83" s="1937" t="s">
        <v>714</v>
      </c>
      <c r="H83" s="1033"/>
      <c r="I83" s="633"/>
      <c r="J83" s="345" t="str">
        <f>FHD_NOTE_P_45</f>
        <v/>
      </c>
      <c r="K83" s="790"/>
      <c r="L83" s="791"/>
      <c r="M83" s="791"/>
      <c r="R83" s="791"/>
      <c r="U83" s="792"/>
      <c r="AA83" s="793"/>
      <c r="AB83" s="793"/>
      <c r="AC83" s="793"/>
      <c r="AD83" s="793"/>
      <c r="AE83" s="793"/>
      <c r="AF83" s="966">
        <v>0</v>
      </c>
    </row>
    <row s="2850" customFormat="1" customHeight="1" ht="18.75">
      <c r="A84" s="2427"/>
      <c r="C84" s="791"/>
      <c r="D84" s="794"/>
      <c r="E84" s="602" t="str">
        <f>FHD_NUM_P_46</f>
        <v>9</v>
      </c>
      <c r="F84" s="1936" t="str">
        <f>FHD_P_46</f>
        <v>Объём воды, пропущенной через очистные сооружения</v>
      </c>
      <c r="G84" s="1937" t="s">
        <v>714</v>
      </c>
      <c r="H84" s="1033"/>
      <c r="I84" s="633"/>
      <c r="J84" s="345" t="str">
        <f>FHD_NOTE_P_46</f>
        <v/>
      </c>
      <c r="K84" s="790"/>
      <c r="L84" s="791"/>
      <c r="M84" s="791"/>
      <c r="R84" s="791"/>
      <c r="U84" s="792"/>
      <c r="AA84" s="793"/>
      <c r="AB84" s="793"/>
      <c r="AC84" s="793"/>
      <c r="AD84" s="793"/>
      <c r="AE84" s="793"/>
      <c r="AF84" s="966">
        <v>0</v>
      </c>
    </row>
    <row s="2850" customFormat="1" customHeight="1" ht="18.75">
      <c r="A85" s="2427"/>
      <c r="C85" s="791"/>
      <c r="D85" s="789"/>
      <c r="E85" s="602" t="str">
        <f>FHD_NUM_P_47</f>
        <v>10</v>
      </c>
      <c r="F85" s="1936" t="str">
        <f>FHD_P_47</f>
        <v>Объём отпущенной потребителям воды, в том числе:</v>
      </c>
      <c r="G85" s="1937" t="s">
        <v>714</v>
      </c>
      <c r="H85" s="1033"/>
      <c r="I85" s="633"/>
      <c r="J85" s="345" t="str">
        <f>FHD_NOTE_P_47</f>
        <v>Указывается общий объем отпущенной потребителям воды.</v>
      </c>
      <c r="K85" s="790"/>
      <c r="L85" s="791"/>
      <c r="M85" s="791"/>
      <c r="R85" s="791"/>
      <c r="U85" s="792"/>
      <c r="AA85" s="793"/>
      <c r="AB85" s="793"/>
      <c r="AC85" s="793"/>
      <c r="AD85" s="793"/>
      <c r="AE85" s="793"/>
      <c r="AF85" s="966">
        <v>0</v>
      </c>
    </row>
    <row s="2774" customFormat="1" customHeight="1" ht="18.75">
      <c r="A86" s="2427"/>
      <c r="B86" s="966"/>
      <c r="C86" s="791"/>
      <c r="D86" s="789"/>
      <c r="E86" s="602" t="str">
        <f>FHD_NUM_P_48</f>
        <v>10.1</v>
      </c>
      <c r="F86" s="1936" t="str">
        <f>FHD_P_48</f>
        <v>Объём отпущенной потребителям воды, определенный по приборам учета</v>
      </c>
      <c r="G86" s="1937" t="s">
        <v>714</v>
      </c>
      <c r="H86" s="1033"/>
      <c r="I86" s="633"/>
      <c r="J86" s="345" t="str">
        <f>FHD_NOTE_P_48</f>
        <v/>
      </c>
      <c r="K86" s="790"/>
      <c r="L86" s="791"/>
      <c r="M86" s="791"/>
      <c r="N86" s="966"/>
      <c r="O86" s="966"/>
      <c r="P86" s="966"/>
      <c r="Q86" s="966"/>
      <c r="R86" s="791"/>
      <c r="S86" s="966"/>
      <c r="T86" s="966"/>
      <c r="U86" s="792"/>
      <c r="V86" s="966"/>
      <c r="W86" s="966"/>
      <c r="X86" s="966"/>
      <c r="Y86" s="966"/>
      <c r="Z86" s="966"/>
      <c r="AA86" s="793"/>
      <c r="AB86" s="793"/>
      <c r="AC86" s="793"/>
      <c r="AD86" s="793"/>
      <c r="AE86" s="793"/>
      <c r="AF86" s="795">
        <v>0</v>
      </c>
    </row>
    <row s="2774" customFormat="1" customHeight="1" ht="18.75">
      <c r="A87" s="2427"/>
      <c r="B87" s="966"/>
      <c r="C87" s="791"/>
      <c r="D87" s="789"/>
      <c r="E87" s="602" t="str">
        <f>FHD_NUM_P_49</f>
        <v>10.2</v>
      </c>
      <c r="F87" s="1936" t="str">
        <f>FHD_P_49</f>
        <v>Объём отпущенной потребителям воды, определенный расчетным способом</v>
      </c>
      <c r="G87" s="1937" t="s">
        <v>714</v>
      </c>
      <c r="H87" s="1034">
        <f>SUM(H88:H89)</f>
        <v>0</v>
      </c>
      <c r="I87" s="805">
        <f>SUM(I88:I89)</f>
        <v>0</v>
      </c>
      <c r="J87" s="345" t="str">
        <f>FHD_NOTE_P_49</f>
        <v/>
      </c>
      <c r="K87" s="790"/>
      <c r="L87" s="791"/>
      <c r="M87" s="791"/>
      <c r="N87" s="966"/>
      <c r="O87" s="966"/>
      <c r="P87" s="966"/>
      <c r="Q87" s="966"/>
      <c r="R87" s="791"/>
      <c r="S87" s="966"/>
      <c r="T87" s="966"/>
      <c r="U87" s="792"/>
      <c r="V87" s="966"/>
      <c r="W87" s="966"/>
      <c r="X87" s="966"/>
      <c r="Y87" s="966"/>
      <c r="Z87" s="966"/>
      <c r="AA87" s="793"/>
      <c r="AB87" s="793"/>
      <c r="AC87" s="793"/>
      <c r="AD87" s="793"/>
      <c r="AE87" s="793"/>
      <c r="AF87" s="795">
        <v>0</v>
      </c>
    </row>
    <row s="2774" customFormat="1" customHeight="1" ht="18.75">
      <c r="A88" s="2427"/>
      <c r="B88" s="966"/>
      <c r="C88" s="791"/>
      <c r="D88" s="789"/>
      <c r="E88" s="602" t="str">
        <f>FHD_NUM_P_50</f>
        <v>10.2.1</v>
      </c>
      <c r="F88" s="1936" t="str">
        <f>FHD_P_50</f>
        <v>Объём отпущенной потребителям воды, определенный по нормативам потребления коммунальных услуг</v>
      </c>
      <c r="G88" s="1937" t="s">
        <v>714</v>
      </c>
      <c r="H88" s="1033"/>
      <c r="I88" s="633"/>
      <c r="J88" s="345" t="str">
        <f>FHD_NOTE_P_50</f>
        <v/>
      </c>
      <c r="K88" s="790"/>
      <c r="L88" s="791"/>
      <c r="M88" s="791"/>
      <c r="N88" s="966"/>
      <c r="O88" s="966"/>
      <c r="P88" s="966"/>
      <c r="Q88" s="966"/>
      <c r="R88" s="791"/>
      <c r="S88" s="966"/>
      <c r="T88" s="966"/>
      <c r="U88" s="792"/>
      <c r="V88" s="966"/>
      <c r="W88" s="966"/>
      <c r="X88" s="966"/>
      <c r="Y88" s="966"/>
      <c r="Z88" s="966"/>
      <c r="AA88" s="793"/>
      <c r="AB88" s="793"/>
      <c r="AC88" s="793"/>
      <c r="AD88" s="793"/>
      <c r="AE88" s="793"/>
      <c r="AF88" s="795">
        <v>0</v>
      </c>
    </row>
    <row s="2774" customFormat="1" customHeight="1" ht="18.75">
      <c r="A89" s="2427"/>
      <c r="B89" s="966"/>
      <c r="C89" s="791"/>
      <c r="D89" s="789"/>
      <c r="E89" s="602" t="str">
        <f>FHD_NUM_P_51</f>
        <v>10.2.2</v>
      </c>
      <c r="F89" s="1936" t="str">
        <f>FHD_P_51</f>
        <v>Объём отпущенной потребителям воды, определенный по нормативам потребления коммунальных ресурсов </v>
      </c>
      <c r="G89" s="1937" t="s">
        <v>714</v>
      </c>
      <c r="H89" s="1033"/>
      <c r="I89" s="633"/>
      <c r="J89" s="345" t="str">
        <f>FHD_NOTE_P_51</f>
        <v/>
      </c>
      <c r="K89" s="790"/>
      <c r="L89" s="791"/>
      <c r="M89" s="791"/>
      <c r="N89" s="966"/>
      <c r="O89" s="966"/>
      <c r="P89" s="966"/>
      <c r="Q89" s="966"/>
      <c r="R89" s="791"/>
      <c r="S89" s="966"/>
      <c r="T89" s="966"/>
      <c r="U89" s="792"/>
      <c r="V89" s="966"/>
      <c r="W89" s="966"/>
      <c r="X89" s="966"/>
      <c r="Y89" s="966"/>
      <c r="Z89" s="966"/>
      <c r="AA89" s="793"/>
      <c r="AB89" s="793"/>
      <c r="AC89" s="793"/>
      <c r="AD89" s="793"/>
      <c r="AE89" s="793"/>
      <c r="AF89" s="795">
        <v>0</v>
      </c>
    </row>
    <row s="2774" customFormat="1" customHeight="1" ht="18.75">
      <c r="A90" s="2427"/>
      <c r="B90" s="966"/>
      <c r="C90" s="791"/>
      <c r="D90" s="789"/>
      <c r="E90" s="602" t="str">
        <f>FHD_NUM_P_52</f>
        <v>11</v>
      </c>
      <c r="F90" s="1936" t="str">
        <f>FHD_P_52</f>
        <v>Потери воды в сетях</v>
      </c>
      <c r="G90" s="1937" t="s">
        <v>691</v>
      </c>
      <c r="H90" s="1032"/>
      <c r="I90" s="613"/>
      <c r="J90" s="345" t="str">
        <f>FHD_NOTE_P_52</f>
        <v/>
      </c>
      <c r="K90" s="790"/>
      <c r="L90" s="791"/>
      <c r="M90" s="791"/>
      <c r="N90" s="966"/>
      <c r="O90" s="966"/>
      <c r="P90" s="966"/>
      <c r="Q90" s="966"/>
      <c r="R90" s="791"/>
      <c r="S90" s="966"/>
      <c r="T90" s="966"/>
      <c r="U90" s="792"/>
      <c r="V90" s="966"/>
      <c r="W90" s="966"/>
      <c r="X90" s="966"/>
      <c r="Y90" s="966"/>
      <c r="Z90" s="966"/>
      <c r="AA90" s="793"/>
      <c r="AB90" s="793"/>
      <c r="AC90" s="793"/>
      <c r="AD90" s="793"/>
      <c r="AE90" s="793"/>
      <c r="AF90" s="795">
        <v>0</v>
      </c>
    </row>
    <row s="2850" customFormat="1" customHeight="1" ht="18.75" hidden="1">
      <c r="A91" s="2429" t="s">
        <v>715</v>
      </c>
      <c r="C91" s="791"/>
      <c r="D91" s="789"/>
      <c r="E91" s="602" t="str">
        <f>FHD_NUM_P_53</f>
        <v/>
      </c>
      <c r="F91" s="1936" t="str">
        <f>FHD_P_53</f>
        <v/>
      </c>
      <c r="G91" s="1937" t="s">
        <v>714</v>
      </c>
      <c r="H91" s="1033"/>
      <c r="I91" s="633"/>
      <c r="J91" s="345" t="str">
        <f>FHD_NOTE_P_53</f>
        <v/>
      </c>
      <c r="K91" s="790"/>
      <c r="L91" s="791"/>
      <c r="M91" s="791"/>
      <c r="R91" s="791"/>
      <c r="U91" s="792"/>
      <c r="AA91" s="793"/>
      <c r="AB91" s="793"/>
      <c r="AC91" s="793"/>
      <c r="AD91" s="793"/>
      <c r="AE91" s="793"/>
      <c r="AF91" s="966">
        <v>0</v>
      </c>
    </row>
    <row s="2850" customFormat="1" customHeight="1" ht="18.75" hidden="1">
      <c r="A92" s="2429"/>
      <c r="C92" s="791"/>
      <c r="D92" s="789"/>
      <c r="E92" s="602" t="str">
        <f>FHD_NUM_P_54</f>
        <v/>
      </c>
      <c r="F92" s="1936" t="str">
        <f>FHD_P_54</f>
        <v/>
      </c>
      <c r="G92" s="1937" t="s">
        <v>714</v>
      </c>
      <c r="H92" s="1033"/>
      <c r="I92" s="633"/>
      <c r="J92" s="345" t="str">
        <f>FHD_NOTE_P_54</f>
        <v/>
      </c>
      <c r="K92" s="790"/>
      <c r="L92" s="791"/>
      <c r="M92" s="791"/>
      <c r="R92" s="791"/>
      <c r="U92" s="792"/>
      <c r="AA92" s="793"/>
      <c r="AB92" s="793"/>
      <c r="AC92" s="793"/>
      <c r="AD92" s="793"/>
      <c r="AE92" s="793"/>
      <c r="AF92" s="966">
        <v>0</v>
      </c>
    </row>
    <row s="2850" customFormat="1" customHeight="1" ht="18.75" hidden="1">
      <c r="A93" s="2429"/>
      <c r="C93" s="791"/>
      <c r="D93" s="794"/>
      <c r="E93" s="602" t="str">
        <f>FHD_NUM_P_55</f>
        <v/>
      </c>
      <c r="F93" s="1936" t="str">
        <f>FHD_P_55</f>
        <v/>
      </c>
      <c r="G93" s="1940"/>
      <c r="H93" s="1033"/>
      <c r="I93" s="633"/>
      <c r="J93" s="345" t="str">
        <f>FHD_NOTE_P_55</f>
        <v/>
      </c>
      <c r="K93" s="790"/>
      <c r="L93" s="791"/>
      <c r="M93" s="791"/>
      <c r="R93" s="791"/>
      <c r="U93" s="792"/>
      <c r="AA93" s="793"/>
      <c r="AB93" s="793"/>
      <c r="AC93" s="793"/>
      <c r="AD93" s="793"/>
      <c r="AE93" s="793"/>
      <c r="AF93" s="966">
        <v>0</v>
      </c>
    </row>
    <row s="2850" customFormat="1" customHeight="1" ht="18.75" hidden="1">
      <c r="A94" s="2429"/>
      <c r="C94" s="791"/>
      <c r="D94" s="789"/>
      <c r="E94" s="602" t="str">
        <f>FHD_NUM_P_56</f>
        <v/>
      </c>
      <c r="F94" s="1936" t="str">
        <f>FHD_P_56</f>
        <v/>
      </c>
      <c r="G94" s="1937" t="s">
        <v>716</v>
      </c>
      <c r="H94" s="1033"/>
      <c r="I94" s="633"/>
      <c r="J94" s="345" t="str">
        <f>FHD_NOTE_P_56</f>
        <v/>
      </c>
      <c r="K94" s="790"/>
      <c r="L94" s="791"/>
      <c r="M94" s="791"/>
      <c r="R94" s="791"/>
      <c r="U94" s="792"/>
      <c r="AA94" s="793"/>
      <c r="AB94" s="793"/>
      <c r="AC94" s="793"/>
      <c r="AD94" s="793"/>
      <c r="AE94" s="793"/>
      <c r="AF94" s="966">
        <v>0</v>
      </c>
    </row>
    <row s="2774" customFormat="1" customHeight="1" ht="18.75" hidden="1">
      <c r="A95" s="2429"/>
      <c r="B95" s="966"/>
      <c r="C95" s="791"/>
      <c r="D95" s="789"/>
      <c r="E95" s="602" t="str">
        <f>FHD_NUM_P_57</f>
        <v/>
      </c>
      <c r="F95" s="1936" t="str">
        <f>FHD_P_57</f>
        <v/>
      </c>
      <c r="G95" s="1937" t="s">
        <v>691</v>
      </c>
      <c r="H95" s="1032"/>
      <c r="I95" s="613"/>
      <c r="J95" s="345" t="str">
        <f>FHD_NOTE_P_57</f>
        <v/>
      </c>
      <c r="K95" s="790"/>
      <c r="L95" s="791"/>
      <c r="M95" s="791"/>
      <c r="N95" s="966"/>
      <c r="O95" s="966"/>
      <c r="P95" s="966"/>
      <c r="Q95" s="966"/>
      <c r="R95" s="791"/>
      <c r="S95" s="966"/>
      <c r="T95" s="966"/>
      <c r="U95" s="792"/>
      <c r="V95" s="966"/>
      <c r="W95" s="966"/>
      <c r="X95" s="966"/>
      <c r="Y95" s="966"/>
      <c r="Z95" s="966"/>
      <c r="AA95" s="793"/>
      <c r="AB95" s="793"/>
      <c r="AC95" s="793"/>
      <c r="AD95" s="793"/>
      <c r="AE95" s="793"/>
      <c r="AF95" s="795">
        <v>0</v>
      </c>
    </row>
    <row customHeight="1" ht="18.75" hidden="1">
      <c r="A96" s="2427" t="s">
        <v>717</v>
      </c>
      <c r="D96" s="1694"/>
      <c r="E96" s="602" t="str">
        <f>FHD_NUM_P_58</f>
        <v/>
      </c>
      <c r="F96" s="1936" t="str">
        <f>FHD_P_58</f>
        <v/>
      </c>
      <c r="G96" s="1937" t="s">
        <v>714</v>
      </c>
      <c r="H96" s="1033"/>
      <c r="I96" s="633"/>
      <c r="J96" s="345" t="str">
        <f>FHD_NOTE_P_58</f>
        <v/>
      </c>
      <c r="K96" s="599"/>
      <c r="AF96" s="1687">
        <v>0</v>
      </c>
    </row>
    <row customHeight="1" ht="18.75" hidden="1">
      <c r="A97" s="2427"/>
      <c r="D97" s="1694"/>
      <c r="E97" s="602" t="str">
        <f>FHD_NUM_P_59</f>
        <v/>
      </c>
      <c r="F97" s="1936" t="str">
        <f>FHD_P_59</f>
        <v/>
      </c>
      <c r="G97" s="1937" t="s">
        <v>714</v>
      </c>
      <c r="H97" s="1033"/>
      <c r="I97" s="633"/>
      <c r="J97" s="345" t="str">
        <f>FHD_NOTE_P_59</f>
        <v/>
      </c>
      <c r="K97" s="599"/>
      <c r="AF97" s="1687">
        <v>0</v>
      </c>
    </row>
    <row customHeight="1" ht="18.75" hidden="1">
      <c r="A98" s="2427"/>
      <c r="D98" s="1694"/>
      <c r="E98" s="602" t="str">
        <f>FHD_NUM_P_60</f>
        <v/>
      </c>
      <c r="F98" s="1936" t="str">
        <f>FHD_P_60</f>
        <v/>
      </c>
      <c r="G98" s="1937" t="s">
        <v>714</v>
      </c>
      <c r="H98" s="1033"/>
      <c r="I98" s="633"/>
      <c r="J98" s="345" t="str">
        <f>FHD_NOTE_P_60</f>
        <v/>
      </c>
      <c r="K98" s="599"/>
      <c r="AF98" s="1687">
        <v>0</v>
      </c>
    </row>
    <row s="2850" customFormat="1" customHeight="1" ht="18.75" hidden="1">
      <c r="A99" s="2427" t="s">
        <v>718</v>
      </c>
      <c r="C99" s="1692"/>
      <c r="D99" s="1694"/>
      <c r="E99" s="602" t="str">
        <f>FHD_NUM_P_61</f>
        <v/>
      </c>
      <c r="F99" s="1936" t="str">
        <f>FHD_P_61</f>
        <v/>
      </c>
      <c r="G99" s="1934" t="s">
        <v>689</v>
      </c>
      <c r="H99" s="1035"/>
      <c r="I99" s="798"/>
      <c r="J99" s="345" t="str">
        <f>FHD_NOTE_P_61</f>
        <v/>
      </c>
      <c r="K99" s="599"/>
      <c r="L99" s="1692"/>
      <c r="M99" s="1692"/>
      <c r="R99" s="1692"/>
      <c r="U99" s="600"/>
      <c r="AA99" s="1688"/>
      <c r="AB99" s="1688"/>
      <c r="AC99" s="1688"/>
      <c r="AD99" s="1688"/>
      <c r="AE99" s="1688"/>
      <c r="AF99" s="1216">
        <v>0</v>
      </c>
    </row>
    <row s="2851" customFormat="1" customHeight="1" ht="0.75" hidden="1">
      <c r="A100" s="2427"/>
      <c r="D100" s="604"/>
      <c r="E100" s="1069" t="str">
        <f>E99&amp;".0"</f>
        <v>.0</v>
      </c>
      <c r="F100" s="1050"/>
      <c r="G100" s="1051"/>
      <c r="H100" s="1048"/>
      <c r="I100" s="1048"/>
      <c r="J100" s="1052"/>
      <c r="AF100" s="1692">
        <v>0</v>
      </c>
    </row>
    <row customHeight="1" ht="15" hidden="1">
      <c r="A101" s="2427"/>
      <c r="D101" s="1689"/>
      <c r="E101" s="1027"/>
      <c r="F101" s="1028" t="s">
        <v>719</v>
      </c>
      <c r="G101" s="628"/>
      <c r="H101" s="629"/>
      <c r="I101" s="629"/>
      <c r="J101" s="1060" t="s">
        <v>720</v>
      </c>
      <c r="K101" s="599"/>
      <c r="AF101" s="1687">
        <v>0</v>
      </c>
    </row>
    <row s="2850" customFormat="1" customHeight="1" ht="18.75" hidden="1">
      <c r="A102" s="2427"/>
      <c r="C102" s="1692"/>
      <c r="D102" s="1694"/>
      <c r="E102" s="602" t="str">
        <f>FHD_NUM_P_62</f>
        <v/>
      </c>
      <c r="F102" s="1936" t="str">
        <f>FHD_P_62</f>
        <v/>
      </c>
      <c r="G102" s="1933" t="s">
        <v>689</v>
      </c>
      <c r="H102" s="613"/>
      <c r="I102" s="613"/>
      <c r="J102" s="345" t="str">
        <f>FHD_NOTE_P_62</f>
        <v/>
      </c>
      <c r="K102" s="599"/>
      <c r="L102" s="1692"/>
      <c r="M102" s="1692"/>
      <c r="R102" s="1692"/>
      <c r="U102" s="600"/>
      <c r="AA102" s="1688"/>
      <c r="AB102" s="1688"/>
      <c r="AC102" s="1688"/>
      <c r="AD102" s="1688"/>
      <c r="AE102" s="1688"/>
      <c r="AF102" s="1216">
        <v>0</v>
      </c>
    </row>
    <row s="2850" customFormat="1" customHeight="1" ht="18.75" hidden="1">
      <c r="A103" s="2427"/>
      <c r="C103" s="1692"/>
      <c r="D103" s="1694"/>
      <c r="E103" s="602" t="str">
        <f>FHD_NUM_P_63</f>
        <v/>
      </c>
      <c r="F103" s="1936" t="str">
        <f>FHD_P_63</f>
        <v/>
      </c>
      <c r="G103" s="1933" t="s">
        <v>716</v>
      </c>
      <c r="H103" s="633"/>
      <c r="I103" s="633"/>
      <c r="J103" s="345" t="str">
        <f>FHD_NOTE_P_63</f>
        <v/>
      </c>
      <c r="K103" s="599"/>
      <c r="L103" s="1692"/>
      <c r="M103" s="1692"/>
      <c r="R103" s="1692"/>
      <c r="U103" s="600"/>
      <c r="AA103" s="1688"/>
      <c r="AB103" s="1688"/>
      <c r="AC103" s="1688"/>
      <c r="AD103" s="1688"/>
      <c r="AE103" s="1688"/>
      <c r="AF103" s="1216">
        <v>0</v>
      </c>
    </row>
    <row s="2850" customFormat="1" customHeight="1" ht="18.75" hidden="1">
      <c r="A104" s="2427"/>
      <c r="C104" s="1692" t="s">
        <v>721</v>
      </c>
      <c r="D104" s="1694"/>
      <c r="E104" s="602" t="str">
        <f>FHD_NUM_P_64</f>
        <v/>
      </c>
      <c r="F104" s="1936" t="str">
        <f>FHD_P_64</f>
        <v/>
      </c>
      <c r="G104" s="1933" t="s">
        <v>716</v>
      </c>
      <c r="H104" s="601"/>
      <c r="I104" s="601"/>
      <c r="J104" s="345" t="str">
        <f>FHD_NOTE_P_64</f>
        <v/>
      </c>
      <c r="K104" s="599"/>
      <c r="L104" s="1692"/>
      <c r="M104" s="1692"/>
      <c r="R104" s="1692"/>
      <c r="U104" s="600"/>
      <c r="AA104" s="1688"/>
      <c r="AB104" s="1688"/>
      <c r="AC104" s="1688"/>
      <c r="AD104" s="1688"/>
      <c r="AE104" s="1688"/>
      <c r="AF104" s="1216">
        <v>0</v>
      </c>
    </row>
    <row s="2850" customFormat="1" customHeight="1" ht="18.75" hidden="1">
      <c r="A105" s="2427"/>
      <c r="C105" s="1692"/>
      <c r="D105" s="1694"/>
      <c r="E105" s="602" t="str">
        <f>FHD_NUM_P_65</f>
        <v/>
      </c>
      <c r="F105" s="1936" t="str">
        <f>FHD_P_65</f>
        <v/>
      </c>
      <c r="G105" s="1933" t="s">
        <v>716</v>
      </c>
      <c r="H105" s="633"/>
      <c r="I105" s="633"/>
      <c r="J105" s="345" t="str">
        <f>FHD_NOTE_P_65</f>
        <v/>
      </c>
      <c r="K105" s="599"/>
      <c r="L105" s="1692"/>
      <c r="M105" s="1692"/>
      <c r="R105" s="1692"/>
      <c r="U105" s="600"/>
      <c r="AA105" s="1688"/>
      <c r="AB105" s="1688"/>
      <c r="AC105" s="1688"/>
      <c r="AD105" s="1688"/>
      <c r="AE105" s="1688"/>
      <c r="AF105" s="1216">
        <v>0</v>
      </c>
    </row>
    <row s="2850" customFormat="1" customHeight="1" ht="18.75" hidden="1">
      <c r="A106" s="2427"/>
      <c r="C106" s="1692"/>
      <c r="D106" s="1694"/>
      <c r="E106" s="602" t="str">
        <f>FHD_NUM_P_66</f>
        <v/>
      </c>
      <c r="F106" s="1580" t="str">
        <f>FHD_P_66</f>
        <v/>
      </c>
      <c r="G106" s="1933" t="s">
        <v>716</v>
      </c>
      <c r="H106" s="633"/>
      <c r="I106" s="633"/>
      <c r="J106" s="345" t="str">
        <f>FHD_NOTE_P_66</f>
        <v/>
      </c>
      <c r="K106" s="599"/>
      <c r="L106" s="1692"/>
      <c r="M106" s="1692"/>
      <c r="R106" s="1692"/>
      <c r="U106" s="600"/>
      <c r="AA106" s="1688"/>
      <c r="AB106" s="1688"/>
      <c r="AC106" s="1688"/>
      <c r="AD106" s="1688"/>
      <c r="AE106" s="1688"/>
      <c r="AF106" s="1216">
        <v>0</v>
      </c>
    </row>
    <row s="2850" customFormat="1" customHeight="1" ht="18.75" hidden="1">
      <c r="A107" s="2427"/>
      <c r="C107" s="1692"/>
      <c r="D107" s="1694"/>
      <c r="E107" s="602" t="str">
        <f>FHD_NUM_P_67</f>
        <v/>
      </c>
      <c r="F107" s="1706" t="str">
        <f>FHD_P_67</f>
        <v/>
      </c>
      <c r="G107" s="1933" t="s">
        <v>716</v>
      </c>
      <c r="H107" s="633"/>
      <c r="I107" s="633"/>
      <c r="J107" s="345" t="str">
        <f>FHD_NOTE_P_67</f>
        <v/>
      </c>
      <c r="K107" s="599"/>
      <c r="L107" s="1692"/>
      <c r="M107" s="1692"/>
      <c r="R107" s="1692"/>
      <c r="U107" s="600"/>
      <c r="AA107" s="1688"/>
      <c r="AB107" s="1688"/>
      <c r="AC107" s="1688"/>
      <c r="AD107" s="1688"/>
      <c r="AE107" s="1688"/>
      <c r="AF107" s="1216">
        <v>0</v>
      </c>
    </row>
    <row s="2850" customFormat="1" customHeight="1" ht="18.75" hidden="1">
      <c r="A108" s="2427"/>
      <c r="C108" s="1692"/>
      <c r="D108" s="1694"/>
      <c r="E108" s="602" t="str">
        <f>FHD_NUM_P_68</f>
        <v/>
      </c>
      <c r="F108" s="1580" t="str">
        <f>FHD_P_68</f>
        <v/>
      </c>
      <c r="G108" s="1933" t="s">
        <v>716</v>
      </c>
      <c r="H108" s="633"/>
      <c r="I108" s="633"/>
      <c r="J108" s="345" t="str">
        <f>FHD_NOTE_P_68</f>
        <v/>
      </c>
      <c r="K108" s="599"/>
      <c r="L108" s="1692"/>
      <c r="M108" s="1692"/>
      <c r="R108" s="1692"/>
      <c r="U108" s="600"/>
      <c r="AA108" s="1688"/>
      <c r="AB108" s="1688"/>
      <c r="AC108" s="1688"/>
      <c r="AD108" s="1688"/>
      <c r="AE108" s="1688"/>
      <c r="AF108" s="1216">
        <v>0</v>
      </c>
    </row>
    <row s="2850" customFormat="1" customHeight="1" ht="18.75" hidden="1">
      <c r="A109" s="2427"/>
      <c r="C109" s="1692"/>
      <c r="D109" s="1694"/>
      <c r="E109" s="602" t="str">
        <f>FHD_NUM_P_69</f>
        <v/>
      </c>
      <c r="F109" s="1580" t="str">
        <f>FHD_P_69</f>
        <v/>
      </c>
      <c r="G109" s="1933" t="s">
        <v>716</v>
      </c>
      <c r="H109" s="633"/>
      <c r="I109" s="633"/>
      <c r="J109" s="345" t="str">
        <f>FHD_NOTE_P_69</f>
        <v/>
      </c>
      <c r="K109" s="599"/>
      <c r="L109" s="1692"/>
      <c r="M109" s="1692"/>
      <c r="R109" s="1692"/>
      <c r="U109" s="600"/>
      <c r="AA109" s="1688"/>
      <c r="AB109" s="1688"/>
      <c r="AC109" s="1688"/>
      <c r="AD109" s="1688"/>
      <c r="AE109" s="1688"/>
      <c r="AF109" s="1216">
        <v>0</v>
      </c>
    </row>
    <row s="2850" customFormat="1" customHeight="1" ht="22.5" hidden="1">
      <c r="A110" s="2427"/>
      <c r="C110" s="1692"/>
      <c r="D110" s="1694"/>
      <c r="E110" s="602" t="str">
        <f>FHD_NUM_P_70</f>
        <v/>
      </c>
      <c r="F110" s="1936" t="str">
        <f>FHD_P_70</f>
        <v/>
      </c>
      <c r="G110" s="1933" t="s">
        <v>722</v>
      </c>
      <c r="H110" s="613"/>
      <c r="I110" s="613"/>
      <c r="J110" s="345" t="str">
        <f>FHD_NOTE_P_70</f>
        <v/>
      </c>
      <c r="K110" s="599"/>
      <c r="L110" s="1692"/>
      <c r="M110" s="1692"/>
      <c r="R110" s="1692"/>
      <c r="U110" s="600"/>
      <c r="AA110" s="1688"/>
      <c r="AB110" s="1688"/>
      <c r="AC110" s="1688"/>
      <c r="AD110" s="1688"/>
      <c r="AE110" s="1688"/>
      <c r="AF110" s="1216">
        <v>0</v>
      </c>
    </row>
    <row s="2850" customFormat="1" customHeight="1" ht="22.5" hidden="1">
      <c r="A111" s="2427"/>
      <c r="C111" s="1692"/>
      <c r="D111" s="1694"/>
      <c r="E111" s="602" t="str">
        <f>FHD_NUM_P_71</f>
        <v/>
      </c>
      <c r="F111" s="1936" t="str">
        <f>FHD_P_71</f>
        <v/>
      </c>
      <c r="G111" s="1933" t="s">
        <v>722</v>
      </c>
      <c r="H111" s="613"/>
      <c r="I111" s="613"/>
      <c r="J111" s="345" t="str">
        <f>FHD_NOTE_P_71</f>
        <v/>
      </c>
      <c r="K111" s="599"/>
      <c r="L111" s="1692"/>
      <c r="M111" s="1692"/>
      <c r="R111" s="1692"/>
      <c r="U111" s="600"/>
      <c r="AA111" s="1688"/>
      <c r="AB111" s="1688"/>
      <c r="AC111" s="1688"/>
      <c r="AD111" s="1688"/>
      <c r="AE111" s="1688"/>
      <c r="AF111" s="1216">
        <v>0</v>
      </c>
    </row>
    <row customHeight="1" ht="19.95">
      <c r="D112" s="1694"/>
      <c r="E112" s="602" t="str">
        <f>FHD_NUM_P_72</f>
        <v>12</v>
      </c>
      <c r="F112" s="1936" t="str">
        <f>FHD_P_72</f>
        <v>Среднесписочная численность основного производственного персонала</v>
      </c>
      <c r="G112" s="1932" t="s">
        <v>723</v>
      </c>
      <c r="H112" s="633"/>
      <c r="I112" s="633"/>
      <c r="J112" s="345" t="str">
        <f>FHD_NOTE_P_72</f>
        <v/>
      </c>
      <c r="K112" s="599"/>
      <c r="AF112" s="1687">
        <v>19</v>
      </c>
    </row>
    <row customHeight="1" ht="18.75" hidden="1">
      <c r="A113" s="1045" t="s">
        <v>724</v>
      </c>
      <c r="D113" s="1694"/>
      <c r="E113" s="602" t="str">
        <f>FHD_NUM_P_73</f>
        <v/>
      </c>
      <c r="F113" s="1936" t="str">
        <f>FHD_P_73</f>
        <v/>
      </c>
      <c r="G113" s="1026" t="s">
        <v>723</v>
      </c>
      <c r="H113" s="1024"/>
      <c r="I113" s="1024"/>
      <c r="J113" s="345" t="str">
        <f>FHD_NOTE_P_73</f>
        <v/>
      </c>
      <c r="K113" s="599"/>
      <c r="AF113" s="1687">
        <v>0</v>
      </c>
    </row>
    <row customHeight="1" ht="33.75">
      <c r="A114" s="1045" t="s">
        <v>725</v>
      </c>
      <c r="D114" s="1694"/>
      <c r="E114" s="602" t="str">
        <f>FHD_NUM_P_74</f>
        <v>13</v>
      </c>
      <c r="F114" s="1936" t="str">
        <f>FHD_P_74</f>
        <v>Удельный расход электрической энергии на подачу воды в сеть</v>
      </c>
      <c r="G114" s="1932" t="s">
        <v>726</v>
      </c>
      <c r="H114" s="633"/>
      <c r="I114" s="633"/>
      <c r="J114" s="345" t="str">
        <f>FHD_NOTE_P_74</f>
        <v/>
      </c>
      <c r="K114" s="599"/>
      <c r="AF114" s="1687">
        <v>0</v>
      </c>
    </row>
    <row s="2774" customFormat="1" customHeight="1" ht="18.75">
      <c r="A115" s="2429" t="s">
        <v>727</v>
      </c>
      <c r="B115" s="966"/>
      <c r="C115" s="791"/>
      <c r="D115" s="789"/>
      <c r="E115" s="602" t="str">
        <f>FHD_NUM_P_75</f>
        <v>14</v>
      </c>
      <c r="F115" s="1936" t="str">
        <f>FHD_P_75</f>
        <v>Расход воды на собственные нужды, в том числе:</v>
      </c>
      <c r="G115" s="1932" t="s">
        <v>691</v>
      </c>
      <c r="H115" s="613"/>
      <c r="I115" s="613"/>
      <c r="J115" s="345" t="str">
        <f>FHD_NOTE_P_75</f>
        <v>Указывается доля общего расхода воды на собственные нужны от объема отпуска воды потребителям.</v>
      </c>
      <c r="K115" s="790"/>
      <c r="L115" s="791"/>
      <c r="M115" s="791"/>
      <c r="N115" s="966"/>
      <c r="O115" s="966"/>
      <c r="P115" s="966"/>
      <c r="Q115" s="966"/>
      <c r="R115" s="791"/>
      <c r="S115" s="966"/>
      <c r="T115" s="966"/>
      <c r="U115" s="792"/>
      <c r="V115" s="966"/>
      <c r="W115" s="966"/>
      <c r="X115" s="966"/>
      <c r="Y115" s="966"/>
      <c r="Z115" s="966"/>
      <c r="AA115" s="793"/>
      <c r="AB115" s="793"/>
      <c r="AC115" s="793"/>
      <c r="AD115" s="793"/>
      <c r="AE115" s="793"/>
      <c r="AF115" s="795">
        <v>0</v>
      </c>
    </row>
    <row s="2774" customFormat="1" customHeight="1" ht="18.75">
      <c r="A116" s="2429"/>
      <c r="B116" s="966"/>
      <c r="C116" s="791"/>
      <c r="D116" s="789"/>
      <c r="E116" s="602" t="str">
        <f>FHD_NUM_P_76</f>
        <v>14.1</v>
      </c>
      <c r="F116" s="1936" t="str">
        <f>FHD_P_76</f>
        <v>Расход воды на хозяйственно-бытовые нужды</v>
      </c>
      <c r="G116" s="1932" t="s">
        <v>691</v>
      </c>
      <c r="H116" s="613"/>
      <c r="I116" s="613"/>
      <c r="J116" s="345" t="str">
        <f>FHD_NOTE_P_76</f>
        <v>Указывается доля расхода воды на хозяйственно-бытовые нужны от объема отпуска воды потребителям.</v>
      </c>
      <c r="K116" s="790"/>
      <c r="L116" s="791"/>
      <c r="M116" s="791"/>
      <c r="N116" s="966"/>
      <c r="O116" s="966"/>
      <c r="P116" s="966"/>
      <c r="Q116" s="966"/>
      <c r="R116" s="791"/>
      <c r="S116" s="966"/>
      <c r="T116" s="966"/>
      <c r="U116" s="792"/>
      <c r="V116" s="966"/>
      <c r="W116" s="966"/>
      <c r="X116" s="966"/>
      <c r="Y116" s="966"/>
      <c r="Z116" s="966"/>
      <c r="AA116" s="793"/>
      <c r="AB116" s="793"/>
      <c r="AC116" s="793"/>
      <c r="AD116" s="793"/>
      <c r="AE116" s="793"/>
      <c r="AF116" s="795">
        <v>0</v>
      </c>
    </row>
    <row s="2774" customFormat="1" customHeight="1" ht="18.75">
      <c r="A117" s="2429"/>
      <c r="B117" s="966"/>
      <c r="C117" s="791"/>
      <c r="D117" s="789"/>
      <c r="E117" s="602" t="str">
        <f>FHD_NUM_P_77</f>
        <v>15</v>
      </c>
      <c r="F117" s="1936" t="str">
        <f>FHD_P_77</f>
        <v>Показатель использования производственных объектов (по объему перекачки), в том числе:</v>
      </c>
      <c r="G117" s="1932" t="s">
        <v>691</v>
      </c>
      <c r="H117" s="613"/>
      <c r="I117" s="613"/>
      <c r="J117" s="345"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790"/>
      <c r="L117" s="791"/>
      <c r="M117" s="791"/>
      <c r="N117" s="966"/>
      <c r="O117" s="966"/>
      <c r="P117" s="966"/>
      <c r="Q117" s="966"/>
      <c r="R117" s="791"/>
      <c r="S117" s="966"/>
      <c r="T117" s="966"/>
      <c r="U117" s="792"/>
      <c r="V117" s="966"/>
      <c r="W117" s="966"/>
      <c r="X117" s="966"/>
      <c r="Y117" s="966"/>
      <c r="Z117" s="966"/>
      <c r="AA117" s="793"/>
      <c r="AB117" s="793"/>
      <c r="AC117" s="793"/>
      <c r="AD117" s="793"/>
      <c r="AE117" s="793"/>
      <c r="AF117" s="795">
        <v>0</v>
      </c>
    </row>
    <row s="2851" customFormat="1" customHeight="1" ht="0.75">
      <c r="A118" s="2429"/>
      <c r="D118" s="604"/>
      <c r="E118" s="1069" t="str">
        <f>E117&amp;".0"</f>
        <v>15.0</v>
      </c>
      <c r="F118" s="1053"/>
      <c r="G118" s="1707"/>
      <c r="H118" s="1048"/>
      <c r="I118" s="1048"/>
      <c r="J118" s="1052"/>
      <c r="AF118" s="1692">
        <v>0</v>
      </c>
    </row>
    <row s="2774" customFormat="1" customHeight="1" ht="15">
      <c r="A119" s="2429"/>
      <c r="B119" s="966"/>
      <c r="C119" s="791"/>
      <c r="D119" s="802"/>
      <c r="E119" s="1029"/>
      <c r="F119" s="1030" t="s">
        <v>728</v>
      </c>
      <c r="G119" s="803"/>
      <c r="H119" s="804"/>
      <c r="I119" s="804"/>
      <c r="J119" s="1059" t="s">
        <v>729</v>
      </c>
      <c r="K119" s="790"/>
      <c r="L119" s="791"/>
      <c r="M119" s="791"/>
      <c r="N119" s="966"/>
      <c r="O119" s="966"/>
      <c r="P119" s="966"/>
      <c r="Q119" s="966"/>
      <c r="R119" s="791"/>
      <c r="S119" s="966"/>
      <c r="T119" s="966"/>
      <c r="U119" s="792"/>
      <c r="V119" s="966"/>
      <c r="W119" s="966"/>
      <c r="X119" s="966"/>
      <c r="Y119" s="966"/>
      <c r="Z119" s="966"/>
      <c r="AA119" s="793"/>
      <c r="AB119" s="793"/>
      <c r="AC119" s="793"/>
      <c r="AD119" s="793"/>
      <c r="AE119" s="793"/>
      <c r="AF119" s="795">
        <v>0</v>
      </c>
    </row>
    <row customHeight="1" ht="22.5" hidden="1">
      <c r="A120" s="2427" t="s">
        <v>730</v>
      </c>
      <c r="D120" s="1694"/>
      <c r="E120" s="602" t="str">
        <f>FHD_NUM_P_78</f>
        <v/>
      </c>
      <c r="F120" s="1936" t="str">
        <f>FHD_P_78</f>
        <v/>
      </c>
      <c r="G120" s="1933" t="s">
        <v>693</v>
      </c>
      <c r="H120" s="633"/>
      <c r="I120" s="633"/>
      <c r="J120" s="345" t="str">
        <f>FHD_NOTE_P_78</f>
        <v/>
      </c>
      <c r="K120" s="599"/>
      <c r="AF120" s="1687">
        <v>0</v>
      </c>
    </row>
    <row s="2851" customFormat="1" customHeight="1" ht="0.75" hidden="1">
      <c r="A121" s="2427"/>
      <c r="D121" s="604"/>
      <c r="E121" s="1069" t="str">
        <f>E120&amp;".0"</f>
        <v>.0</v>
      </c>
      <c r="F121" s="1053"/>
      <c r="G121" s="1707"/>
      <c r="H121" s="1048"/>
      <c r="I121" s="1048"/>
      <c r="J121" s="1052"/>
      <c r="AF121" s="1692">
        <v>0</v>
      </c>
    </row>
    <row customHeight="1" ht="15" hidden="1">
      <c r="A122" s="2427"/>
      <c r="D122" s="1689"/>
      <c r="E122" s="626"/>
      <c r="F122" s="1224" t="s">
        <v>719</v>
      </c>
      <c r="G122" s="628"/>
      <c r="H122" s="629"/>
      <c r="I122" s="629"/>
      <c r="J122" s="1060" t="s">
        <v>731</v>
      </c>
      <c r="K122" s="599"/>
      <c r="AF122" s="1687">
        <v>0</v>
      </c>
    </row>
    <row customHeight="1" ht="22.5" hidden="1">
      <c r="A123" s="2427"/>
      <c r="D123" s="1694"/>
      <c r="E123" s="602" t="str">
        <f>FHD_NUM_P_79</f>
        <v/>
      </c>
      <c r="F123" s="1936" t="str">
        <f>FHD_P_79</f>
        <v/>
      </c>
      <c r="G123" s="1934" t="s">
        <v>695</v>
      </c>
      <c r="H123" s="633"/>
      <c r="I123" s="633"/>
      <c r="J123" s="345" t="str">
        <f>FHD_NOTE_P_79</f>
        <v/>
      </c>
      <c r="K123" s="599"/>
      <c r="AF123" s="1687">
        <v>0</v>
      </c>
    </row>
    <row s="2851" customFormat="1" customHeight="1" ht="0.75" hidden="1">
      <c r="A124" s="2427"/>
      <c r="D124" s="604"/>
      <c r="E124" s="1069" t="str">
        <f>E123&amp;".0"</f>
        <v>.0</v>
      </c>
      <c r="F124" s="1054"/>
      <c r="G124" s="1707"/>
      <c r="H124" s="1048"/>
      <c r="I124" s="1048"/>
      <c r="J124" s="1052"/>
      <c r="AF124" s="1692">
        <v>0</v>
      </c>
    </row>
    <row customHeight="1" ht="15" hidden="1">
      <c r="A125" s="2427"/>
      <c r="D125" s="1689"/>
      <c r="E125" s="626"/>
      <c r="F125" s="1224" t="s">
        <v>719</v>
      </c>
      <c r="G125" s="628"/>
      <c r="H125" s="629"/>
      <c r="I125" s="629"/>
      <c r="J125" s="1060" t="s">
        <v>732</v>
      </c>
      <c r="K125" s="599"/>
      <c r="AF125" s="1687">
        <v>0</v>
      </c>
    </row>
    <row customHeight="1" ht="22.5" hidden="1">
      <c r="A126" s="2427"/>
      <c r="D126" s="1694"/>
      <c r="E126" s="602" t="str">
        <f>FHD_NUM_P_80</f>
        <v/>
      </c>
      <c r="F126" s="1936" t="str">
        <f>FHD_P_80</f>
        <v/>
      </c>
      <c r="G126" s="1934" t="s">
        <v>733</v>
      </c>
      <c r="H126" s="613"/>
      <c r="I126" s="613"/>
      <c r="J126" s="345" t="str">
        <f>FHD_NOTE_P_80</f>
        <v/>
      </c>
      <c r="K126" s="599"/>
      <c r="AF126" s="1687">
        <v>0</v>
      </c>
    </row>
    <row customHeight="1" ht="18.75" hidden="1">
      <c r="A127" s="2427"/>
      <c r="D127" s="1694"/>
      <c r="E127" s="602" t="str">
        <f>FHD_NUM_P_81</f>
        <v/>
      </c>
      <c r="F127" s="1936" t="str">
        <f>FHD_P_81</f>
        <v/>
      </c>
      <c r="G127" s="1934" t="s">
        <v>734</v>
      </c>
      <c r="H127" s="613"/>
      <c r="I127" s="613"/>
      <c r="J127" s="345" t="str">
        <f>FHD_NOTE_P_81</f>
        <v/>
      </c>
      <c r="K127" s="599"/>
      <c r="AF127" s="1687">
        <v>0</v>
      </c>
    </row>
    <row customHeight="1" ht="18.75" hidden="1">
      <c r="A128" s="2427"/>
      <c r="C128" s="1692" t="s">
        <v>721</v>
      </c>
      <c r="D128" s="1694"/>
      <c r="E128" s="602" t="str">
        <f>FHD_NUM_P_82</f>
        <v/>
      </c>
      <c r="F128" s="1936" t="str">
        <f>FHD_P_82</f>
        <v/>
      </c>
      <c r="G128" s="1934" t="s">
        <v>438</v>
      </c>
      <c r="H128" s="457"/>
      <c r="I128" s="457"/>
      <c r="J128" s="345" t="str">
        <f>FHD_NOTE_P_82</f>
        <v/>
      </c>
      <c r="K128" s="599"/>
      <c r="AF128" s="1687">
        <v>0</v>
      </c>
    </row>
    <row customHeight="1" ht="18.75" hidden="1">
      <c r="A129" s="2427"/>
      <c r="C129" s="1692" t="s">
        <v>721</v>
      </c>
      <c r="D129" s="1694"/>
      <c r="E129" s="602" t="str">
        <f>FHD_NUM_P_83</f>
        <v/>
      </c>
      <c r="F129" s="1580" t="str">
        <f>FHD_P_83</f>
        <v/>
      </c>
      <c r="G129" s="1934" t="s">
        <v>438</v>
      </c>
      <c r="H129" s="457"/>
      <c r="I129" s="457"/>
      <c r="J129" s="345" t="str">
        <f>FHD_NOTE_P_83</f>
        <v/>
      </c>
      <c r="K129" s="599"/>
      <c r="AF129" s="1687">
        <v>0</v>
      </c>
    </row>
    <row customHeight="1" ht="18.75" hidden="1">
      <c r="A130" s="2427"/>
      <c r="C130" s="1692" t="s">
        <v>721</v>
      </c>
      <c r="D130" s="1694"/>
      <c r="E130" s="602" t="str">
        <f>FHD_NUM_P_84</f>
        <v/>
      </c>
      <c r="F130" s="1580" t="str">
        <f>FHD_P_84</f>
        <v/>
      </c>
      <c r="G130" s="1934" t="s">
        <v>438</v>
      </c>
      <c r="H130" s="457"/>
      <c r="I130" s="457"/>
      <c r="J130" s="345" t="str">
        <f>FHD_NOTE_P_84</f>
        <v/>
      </c>
      <c r="K130" s="599"/>
      <c r="AF130" s="1687">
        <v>0</v>
      </c>
    </row>
    <row customHeight="1" ht="11.549999999999999">
      <c r="D131" s="1694"/>
      <c r="AF131" s="1687">
        <v>11</v>
      </c>
    </row>
    <row customHeight="1" ht="13.5">
      <c r="D132" s="1694"/>
      <c r="E132" s="392"/>
      <c r="F132" s="425"/>
      <c r="G132" s="425"/>
      <c r="H132" s="425"/>
      <c r="I132" s="1703"/>
      <c r="J132" s="637"/>
      <c r="AF132" s="1687">
        <v>13</v>
      </c>
    </row>
    <row s="3442" customFormat="1" customHeight="1" ht="11.549999999999999">
      <c r="A133" s="1043"/>
      <c r="B133" s="1692"/>
      <c r="C133" s="1692"/>
      <c r="D133" s="407"/>
      <c r="F133" s="1696"/>
      <c r="G133" s="1687"/>
      <c r="H133" s="1687"/>
      <c r="I133" s="1687"/>
      <c r="K133" s="1216"/>
      <c r="L133" s="1692"/>
      <c r="M133" s="1692"/>
      <c r="N133" s="1216"/>
      <c r="O133" s="1216"/>
      <c r="P133" s="1216"/>
      <c r="Q133" s="1216"/>
      <c r="R133" s="1692"/>
      <c r="S133" s="1216"/>
      <c r="T133" s="1216"/>
      <c r="U133" s="600"/>
      <c r="V133" s="1216"/>
      <c r="W133" s="1216"/>
      <c r="X133" s="1216"/>
      <c r="Y133" s="1216"/>
      <c r="Z133" s="1216"/>
      <c r="AA133" s="1688"/>
      <c r="AB133" s="622"/>
      <c r="AC133" s="622"/>
      <c r="AD133" s="622"/>
      <c r="AE133" s="622"/>
      <c r="AF133" s="1697">
        <v>11</v>
      </c>
    </row>
    <row s="3442" customFormat="1" customHeight="1" ht="11.549999999999999">
      <c r="A134" s="1043"/>
      <c r="B134" s="1692"/>
      <c r="C134" s="1692"/>
      <c r="D134" s="407"/>
      <c r="K134" s="1216"/>
      <c r="L134" s="1692"/>
      <c r="M134" s="1692"/>
      <c r="N134" s="1216"/>
      <c r="O134" s="1216"/>
      <c r="P134" s="1216"/>
      <c r="Q134" s="1216"/>
      <c r="R134" s="1692"/>
      <c r="S134" s="1216"/>
      <c r="T134" s="1216"/>
      <c r="U134" s="600"/>
      <c r="V134" s="1216"/>
      <c r="W134" s="1216"/>
      <c r="X134" s="1216"/>
      <c r="Y134" s="1216"/>
      <c r="Z134" s="1216"/>
      <c r="AA134" s="1688"/>
      <c r="AB134" s="622"/>
      <c r="AC134" s="622"/>
      <c r="AD134" s="622"/>
      <c r="AE134" s="622"/>
      <c r="AF134" s="1697">
        <v>11</v>
      </c>
    </row>
    <row s="3442" customFormat="1" customHeight="1" ht="11.549999999999999">
      <c r="A135" s="1043"/>
      <c r="B135" s="1692"/>
      <c r="C135" s="1692"/>
      <c r="D135" s="407"/>
      <c r="K135" s="1216"/>
      <c r="L135" s="1692"/>
      <c r="M135" s="1692"/>
      <c r="N135" s="1216"/>
      <c r="O135" s="1216"/>
      <c r="P135" s="1216"/>
      <c r="Q135" s="1216"/>
      <c r="R135" s="1692"/>
      <c r="S135" s="1216"/>
      <c r="T135" s="1216"/>
      <c r="U135" s="600"/>
      <c r="V135" s="1216"/>
      <c r="W135" s="1216"/>
      <c r="X135" s="1216"/>
      <c r="Y135" s="1216"/>
      <c r="Z135" s="1216"/>
      <c r="AA135" s="1688"/>
      <c r="AB135" s="622"/>
      <c r="AC135" s="622"/>
      <c r="AD135" s="622"/>
      <c r="AE135" s="622"/>
      <c r="AF135" s="1697">
        <v>11</v>
      </c>
    </row>
    <row s="3442" customFormat="1" customHeight="1" ht="11.549999999999999">
      <c r="A136" s="1043"/>
      <c r="B136" s="1692"/>
      <c r="C136" s="1692"/>
      <c r="D136" s="407"/>
      <c r="H136" s="622" t="str">
        <f>IF(H30-H31&lt;&gt;H72,"WARNING","")</f>
        <v/>
      </c>
      <c r="I136" s="622" t="str">
        <f>IF(I30-I31&lt;&gt;I72,"WARNING","")</f>
        <v/>
      </c>
      <c r="K136" s="1216"/>
      <c r="L136" s="1692"/>
      <c r="M136" s="1692"/>
      <c r="N136" s="1216"/>
      <c r="O136" s="1216"/>
      <c r="P136" s="1216"/>
      <c r="Q136" s="1216"/>
      <c r="R136" s="1692"/>
      <c r="S136" s="1216"/>
      <c r="T136" s="1216"/>
      <c r="U136" s="600"/>
      <c r="V136" s="1216"/>
      <c r="W136" s="1216"/>
      <c r="X136" s="1216"/>
      <c r="Y136" s="1216"/>
      <c r="Z136" s="1216"/>
      <c r="AA136" s="1688"/>
      <c r="AB136" s="622"/>
      <c r="AC136" s="622"/>
      <c r="AD136" s="622"/>
      <c r="AE136" s="622"/>
      <c r="AF136" s="1697">
        <v>11</v>
      </c>
    </row>
    <row s="3442" customFormat="1" customHeight="1" ht="11.549999999999999">
      <c r="A137" s="1043"/>
      <c r="B137" s="1692"/>
      <c r="C137" s="1692"/>
      <c r="D137" s="407"/>
      <c r="K137" s="1216"/>
      <c r="L137" s="1692"/>
      <c r="M137" s="1692"/>
      <c r="N137" s="1216"/>
      <c r="O137" s="1216"/>
      <c r="P137" s="1216"/>
      <c r="Q137" s="1216"/>
      <c r="R137" s="1692"/>
      <c r="S137" s="1216"/>
      <c r="T137" s="1216"/>
      <c r="U137" s="600"/>
      <c r="V137" s="1216"/>
      <c r="W137" s="1216"/>
      <c r="X137" s="1216"/>
      <c r="Y137" s="1216"/>
      <c r="Z137" s="1216"/>
      <c r="AA137" s="1688"/>
      <c r="AB137" s="622"/>
      <c r="AC137" s="622"/>
      <c r="AD137" s="622"/>
      <c r="AE137" s="622"/>
      <c r="AF137" s="1697">
        <v>11</v>
      </c>
    </row>
    <row s="3442" customFormat="1" customHeight="1" ht="11.549999999999999">
      <c r="A138" s="1043"/>
      <c r="B138" s="1692"/>
      <c r="C138" s="1692"/>
      <c r="D138" s="407"/>
      <c r="K138" s="1216"/>
      <c r="L138" s="1692"/>
      <c r="M138" s="1692"/>
      <c r="N138" s="1216"/>
      <c r="O138" s="1216"/>
      <c r="P138" s="1216"/>
      <c r="Q138" s="1216"/>
      <c r="R138" s="1692"/>
      <c r="S138" s="1216"/>
      <c r="T138" s="1216"/>
      <c r="U138" s="600"/>
      <c r="V138" s="1216"/>
      <c r="W138" s="1216"/>
      <c r="X138" s="1216"/>
      <c r="Y138" s="1216"/>
      <c r="Z138" s="1216"/>
      <c r="AA138" s="1688"/>
      <c r="AB138" s="622"/>
      <c r="AC138" s="622"/>
      <c r="AD138" s="622"/>
      <c r="AE138" s="622"/>
      <c r="AF138" s="1697">
        <v>11</v>
      </c>
    </row>
    <row s="3442" customFormat="1" customHeight="1" ht="11.549999999999999">
      <c r="A139" s="1043"/>
      <c r="B139" s="1692"/>
      <c r="C139" s="1692"/>
      <c r="D139" s="407"/>
      <c r="K139" s="1216"/>
      <c r="L139" s="1692"/>
      <c r="M139" s="1692"/>
      <c r="N139" s="1216"/>
      <c r="O139" s="1216"/>
      <c r="P139" s="1216"/>
      <c r="Q139" s="1216"/>
      <c r="R139" s="1692"/>
      <c r="S139" s="1216"/>
      <c r="T139" s="1216"/>
      <c r="U139" s="600"/>
      <c r="V139" s="1216"/>
      <c r="W139" s="1216"/>
      <c r="X139" s="1216"/>
      <c r="Y139" s="1216"/>
      <c r="Z139" s="1216"/>
      <c r="AA139" s="1688"/>
      <c r="AB139" s="622"/>
      <c r="AC139" s="622"/>
      <c r="AD139" s="622"/>
      <c r="AE139" s="622"/>
      <c r="AF139" s="1697">
        <v>11</v>
      </c>
    </row>
    <row s="3442" customFormat="1" customHeight="1" ht="11.549999999999999">
      <c r="A140" s="1043"/>
      <c r="B140" s="1692"/>
      <c r="C140" s="1692"/>
      <c r="D140" s="407"/>
      <c r="K140" s="1216"/>
      <c r="L140" s="1692"/>
      <c r="M140" s="1692"/>
      <c r="N140" s="1216"/>
      <c r="O140" s="1216"/>
      <c r="P140" s="1216"/>
      <c r="Q140" s="1216"/>
      <c r="R140" s="1692"/>
      <c r="S140" s="1216"/>
      <c r="T140" s="1216"/>
      <c r="U140" s="600"/>
      <c r="V140" s="1216"/>
      <c r="W140" s="1216"/>
      <c r="X140" s="1216"/>
      <c r="Y140" s="1216"/>
      <c r="Z140" s="1216"/>
      <c r="AA140" s="1688"/>
      <c r="AB140" s="622"/>
      <c r="AC140" s="622"/>
      <c r="AD140" s="622"/>
      <c r="AE140" s="622"/>
      <c r="AF140" s="1697">
        <v>11</v>
      </c>
    </row>
    <row s="3442" customFormat="1" customHeight="1" ht="11.549999999999999">
      <c r="A141" s="1043"/>
      <c r="B141" s="1692"/>
      <c r="C141" s="1692"/>
      <c r="D141" s="407"/>
      <c r="K141" s="1216"/>
      <c r="L141" s="1692"/>
      <c r="M141" s="1692"/>
      <c r="N141" s="1216"/>
      <c r="O141" s="1216"/>
      <c r="P141" s="1216"/>
      <c r="Q141" s="1216"/>
      <c r="R141" s="1692"/>
      <c r="S141" s="1216"/>
      <c r="T141" s="1216"/>
      <c r="U141" s="600"/>
      <c r="V141" s="1216"/>
      <c r="W141" s="1216"/>
      <c r="X141" s="1216"/>
      <c r="Y141" s="1216"/>
      <c r="Z141" s="1216"/>
      <c r="AA141" s="1688"/>
      <c r="AB141" s="622"/>
      <c r="AC141" s="622"/>
      <c r="AD141" s="622"/>
      <c r="AE141" s="622"/>
      <c r="AF141" s="1697">
        <v>11</v>
      </c>
    </row>
    <row s="3442" customFormat="1" customHeight="1" ht="11.549999999999999">
      <c r="A142" s="1043"/>
      <c r="B142" s="1692"/>
      <c r="C142" s="1692"/>
      <c r="D142" s="407"/>
      <c r="K142" s="1216"/>
      <c r="L142" s="1692"/>
      <c r="M142" s="1692"/>
      <c r="N142" s="1216"/>
      <c r="O142" s="1216"/>
      <c r="P142" s="1216"/>
      <c r="Q142" s="1216"/>
      <c r="R142" s="1692"/>
      <c r="S142" s="1216"/>
      <c r="T142" s="1216"/>
      <c r="U142" s="600"/>
      <c r="V142" s="1216"/>
      <c r="W142" s="1216"/>
      <c r="X142" s="1216"/>
      <c r="Y142" s="1216"/>
      <c r="Z142" s="1216"/>
      <c r="AA142" s="1688"/>
      <c r="AB142" s="622"/>
      <c r="AC142" s="622"/>
      <c r="AD142" s="622"/>
      <c r="AE142" s="622"/>
      <c r="AF142" s="1697">
        <v>11</v>
      </c>
    </row>
    <row s="3442" customFormat="1" customHeight="1" ht="11.549999999999999">
      <c r="A143" s="1043"/>
      <c r="B143" s="1692"/>
      <c r="C143" s="1692"/>
      <c r="D143" s="407"/>
      <c r="K143" s="1216"/>
      <c r="L143" s="1692"/>
      <c r="M143" s="1692"/>
      <c r="N143" s="1216"/>
      <c r="O143" s="1216"/>
      <c r="P143" s="1216"/>
      <c r="Q143" s="1216"/>
      <c r="R143" s="1692"/>
      <c r="S143" s="1216"/>
      <c r="T143" s="1216"/>
      <c r="U143" s="600"/>
      <c r="V143" s="1216"/>
      <c r="W143" s="1216"/>
      <c r="X143" s="1216"/>
      <c r="Y143" s="1216"/>
      <c r="Z143" s="1216"/>
      <c r="AA143" s="1688"/>
      <c r="AB143" s="622"/>
      <c r="AC143" s="622"/>
      <c r="AD143" s="622"/>
      <c r="AE143" s="622"/>
      <c r="AF143" s="1697">
        <v>11</v>
      </c>
    </row>
    <row s="3442" customFormat="1" customHeight="1" ht="11.549999999999999">
      <c r="A144" s="1043"/>
      <c r="B144" s="1692"/>
      <c r="C144" s="1692"/>
      <c r="D144" s="407"/>
      <c r="K144" s="1216"/>
      <c r="L144" s="1692"/>
      <c r="M144" s="1692"/>
      <c r="N144" s="1216"/>
      <c r="O144" s="1216"/>
      <c r="P144" s="1216"/>
      <c r="Q144" s="1216"/>
      <c r="R144" s="1692"/>
      <c r="S144" s="1216"/>
      <c r="T144" s="1216"/>
      <c r="U144" s="600"/>
      <c r="V144" s="1216"/>
      <c r="W144" s="1216"/>
      <c r="X144" s="1216"/>
      <c r="Y144" s="1216"/>
      <c r="Z144" s="1216"/>
      <c r="AA144" s="1688"/>
      <c r="AB144" s="622"/>
      <c r="AC144" s="622"/>
      <c r="AD144" s="622"/>
      <c r="AE144" s="622"/>
      <c r="AF144" s="1697">
        <v>11</v>
      </c>
    </row>
    <row s="3442" customFormat="1" customHeight="1" ht="11.549999999999999">
      <c r="A145" s="1043"/>
      <c r="B145" s="1692"/>
      <c r="C145" s="1692"/>
      <c r="D145" s="407"/>
      <c r="K145" s="1216"/>
      <c r="L145" s="1692"/>
      <c r="M145" s="1692"/>
      <c r="N145" s="1216"/>
      <c r="O145" s="1216"/>
      <c r="P145" s="1216"/>
      <c r="Q145" s="1216"/>
      <c r="R145" s="1692"/>
      <c r="S145" s="1216"/>
      <c r="T145" s="1216"/>
      <c r="U145" s="600"/>
      <c r="V145" s="1216"/>
      <c r="W145" s="1216"/>
      <c r="X145" s="1216"/>
      <c r="Y145" s="1216"/>
      <c r="Z145" s="1216"/>
      <c r="AA145" s="1688"/>
      <c r="AB145" s="622"/>
      <c r="AC145" s="622"/>
      <c r="AD145" s="622"/>
      <c r="AE145" s="622"/>
      <c r="AF145" s="1697">
        <v>11</v>
      </c>
    </row>
    <row s="3442" customFormat="1" customHeight="1" ht="11.549999999999999">
      <c r="A146" s="1043"/>
      <c r="B146" s="1692"/>
      <c r="C146" s="1692"/>
      <c r="D146" s="407"/>
      <c r="K146" s="1216"/>
      <c r="L146" s="1692"/>
      <c r="M146" s="1692"/>
      <c r="N146" s="1216"/>
      <c r="O146" s="1216"/>
      <c r="P146" s="1216"/>
      <c r="Q146" s="1216"/>
      <c r="R146" s="1692"/>
      <c r="S146" s="1216"/>
      <c r="T146" s="1216"/>
      <c r="U146" s="600"/>
      <c r="V146" s="1216"/>
      <c r="W146" s="1216"/>
      <c r="X146" s="1216"/>
      <c r="Y146" s="1216"/>
      <c r="Z146" s="1216"/>
      <c r="AA146" s="1688"/>
      <c r="AB146" s="622"/>
      <c r="AC146" s="622"/>
      <c r="AD146" s="622"/>
      <c r="AE146" s="622"/>
      <c r="AF146" s="1697">
        <v>11</v>
      </c>
    </row>
    <row s="3442" customFormat="1" customHeight="1" ht="11.549999999999999">
      <c r="A147" s="1043"/>
      <c r="B147" s="1692"/>
      <c r="C147" s="1692"/>
      <c r="D147" s="407"/>
      <c r="K147" s="1216"/>
      <c r="L147" s="1692"/>
      <c r="M147" s="1692"/>
      <c r="N147" s="1216"/>
      <c r="O147" s="1216"/>
      <c r="P147" s="1216"/>
      <c r="Q147" s="1216"/>
      <c r="R147" s="1692"/>
      <c r="S147" s="1216"/>
      <c r="T147" s="1216"/>
      <c r="U147" s="600"/>
      <c r="V147" s="1216"/>
      <c r="W147" s="1216"/>
      <c r="X147" s="1216"/>
      <c r="Y147" s="1216"/>
      <c r="Z147" s="1216"/>
      <c r="AA147" s="1688"/>
      <c r="AB147" s="622"/>
      <c r="AC147" s="622"/>
      <c r="AD147" s="622"/>
      <c r="AE147" s="622"/>
      <c r="AF147" s="1697">
        <v>11</v>
      </c>
    </row>
    <row s="3442" customFormat="1" customHeight="1" ht="11.549999999999999">
      <c r="A148" s="1043"/>
      <c r="B148" s="1692"/>
      <c r="C148" s="1692"/>
      <c r="D148" s="407"/>
      <c r="K148" s="1216"/>
      <c r="L148" s="1692"/>
      <c r="M148" s="1692"/>
      <c r="N148" s="1216"/>
      <c r="O148" s="1216"/>
      <c r="P148" s="1216"/>
      <c r="Q148" s="1216"/>
      <c r="R148" s="1692"/>
      <c r="S148" s="1216"/>
      <c r="T148" s="1216"/>
      <c r="U148" s="600"/>
      <c r="V148" s="1216"/>
      <c r="W148" s="1216"/>
      <c r="X148" s="1216"/>
      <c r="Y148" s="1216"/>
      <c r="Z148" s="1216"/>
      <c r="AA148" s="1688"/>
      <c r="AB148" s="622"/>
      <c r="AC148" s="622"/>
      <c r="AD148" s="622"/>
      <c r="AE148" s="622"/>
      <c r="AF148" s="1697">
        <v>11</v>
      </c>
    </row>
    <row s="3442" customFormat="1" customHeight="1" ht="11.549999999999999">
      <c r="A149" s="1043"/>
      <c r="B149" s="1692"/>
      <c r="C149" s="1692"/>
      <c r="D149" s="407"/>
      <c r="K149" s="1216"/>
      <c r="L149" s="1692"/>
      <c r="M149" s="1692"/>
      <c r="N149" s="1216"/>
      <c r="O149" s="1216"/>
      <c r="P149" s="1216"/>
      <c r="Q149" s="1216"/>
      <c r="R149" s="1692"/>
      <c r="S149" s="1216"/>
      <c r="T149" s="1216"/>
      <c r="U149" s="600"/>
      <c r="V149" s="1216"/>
      <c r="W149" s="1216"/>
      <c r="X149" s="1216"/>
      <c r="Y149" s="1216"/>
      <c r="Z149" s="1216"/>
      <c r="AA149" s="1688"/>
      <c r="AB149" s="622"/>
      <c r="AC149" s="622"/>
      <c r="AD149" s="622"/>
      <c r="AE149" s="622"/>
      <c r="AF149" s="1697">
        <v>11</v>
      </c>
    </row>
    <row s="3442" customFormat="1" customHeight="1" ht="11.549999999999999">
      <c r="A150" s="1043"/>
      <c r="B150" s="1692"/>
      <c r="C150" s="1692"/>
      <c r="D150" s="407"/>
      <c r="K150" s="1216"/>
      <c r="L150" s="1692"/>
      <c r="M150" s="1692"/>
      <c r="N150" s="1216"/>
      <c r="O150" s="1216"/>
      <c r="P150" s="1216"/>
      <c r="Q150" s="1216"/>
      <c r="R150" s="1692"/>
      <c r="S150" s="1216"/>
      <c r="T150" s="1216"/>
      <c r="U150" s="600"/>
      <c r="V150" s="1216"/>
      <c r="W150" s="1216"/>
      <c r="X150" s="1216"/>
      <c r="Y150" s="1216"/>
      <c r="Z150" s="1216"/>
      <c r="AA150" s="1688"/>
      <c r="AB150" s="622"/>
      <c r="AC150" s="622"/>
      <c r="AD150" s="622"/>
      <c r="AE150" s="622"/>
      <c r="AF150" s="1697">
        <v>11</v>
      </c>
    </row>
    <row s="3442" customFormat="1" customHeight="1" ht="11.549999999999999">
      <c r="A151" s="1043"/>
      <c r="B151" s="1692"/>
      <c r="C151" s="1692"/>
      <c r="D151" s="407"/>
      <c r="K151" s="1216"/>
      <c r="L151" s="1692"/>
      <c r="M151" s="1692"/>
      <c r="N151" s="1216"/>
      <c r="O151" s="1216"/>
      <c r="P151" s="1216"/>
      <c r="Q151" s="1216"/>
      <c r="R151" s="1692"/>
      <c r="S151" s="1216"/>
      <c r="T151" s="1216"/>
      <c r="U151" s="600"/>
      <c r="V151" s="1216"/>
      <c r="W151" s="1216"/>
      <c r="X151" s="1216"/>
      <c r="Y151" s="1216"/>
      <c r="Z151" s="1216"/>
      <c r="AA151" s="1688"/>
      <c r="AB151" s="622"/>
      <c r="AC151" s="622"/>
      <c r="AD151" s="622"/>
      <c r="AE151" s="622"/>
      <c r="AF151" s="1697">
        <v>11</v>
      </c>
    </row>
    <row s="3442" customFormat="1" customHeight="1" ht="11.549999999999999">
      <c r="A152" s="1043"/>
      <c r="B152" s="1692"/>
      <c r="C152" s="1692"/>
      <c r="D152" s="407"/>
      <c r="K152" s="1216"/>
      <c r="L152" s="1692"/>
      <c r="M152" s="1692"/>
      <c r="N152" s="1216"/>
      <c r="O152" s="1216"/>
      <c r="P152" s="1216"/>
      <c r="Q152" s="1216"/>
      <c r="R152" s="1692"/>
      <c r="S152" s="1216"/>
      <c r="T152" s="1216"/>
      <c r="U152" s="600"/>
      <c r="V152" s="1216"/>
      <c r="W152" s="1216"/>
      <c r="X152" s="1216"/>
      <c r="Y152" s="1216"/>
      <c r="Z152" s="1216"/>
      <c r="AA152" s="1688"/>
      <c r="AB152" s="622"/>
      <c r="AC152" s="622"/>
      <c r="AD152" s="622"/>
      <c r="AE152" s="622"/>
      <c r="AF152" s="1697">
        <v>11</v>
      </c>
    </row>
    <row s="3442" customFormat="1" customHeight="1" ht="11.549999999999999">
      <c r="A153" s="1043"/>
      <c r="B153" s="1692"/>
      <c r="C153" s="1692"/>
      <c r="D153" s="407"/>
      <c r="K153" s="1216"/>
      <c r="L153" s="1692"/>
      <c r="M153" s="1692"/>
      <c r="N153" s="1216"/>
      <c r="O153" s="1216"/>
      <c r="P153" s="1216"/>
      <c r="Q153" s="1216"/>
      <c r="R153" s="1692"/>
      <c r="S153" s="1216"/>
      <c r="T153" s="1216"/>
      <c r="U153" s="600"/>
      <c r="V153" s="1216"/>
      <c r="W153" s="1216"/>
      <c r="X153" s="1216"/>
      <c r="Y153" s="1216"/>
      <c r="Z153" s="1216"/>
      <c r="AA153" s="1688"/>
      <c r="AB153" s="622"/>
      <c r="AC153" s="622"/>
      <c r="AD153" s="622"/>
      <c r="AE153" s="622"/>
      <c r="AF153" s="1697">
        <v>11</v>
      </c>
    </row>
    <row s="3442" customFormat="1" customHeight="1" ht="11.549999999999999">
      <c r="A154" s="1043"/>
      <c r="B154" s="1692"/>
      <c r="C154" s="1692"/>
      <c r="D154" s="407"/>
      <c r="K154" s="1216"/>
      <c r="L154" s="1692"/>
      <c r="M154" s="1692"/>
      <c r="N154" s="1216"/>
      <c r="O154" s="1216"/>
      <c r="P154" s="1216"/>
      <c r="Q154" s="1216"/>
      <c r="R154" s="1692"/>
      <c r="S154" s="1216"/>
      <c r="T154" s="1216"/>
      <c r="U154" s="600"/>
      <c r="V154" s="1216"/>
      <c r="W154" s="1216"/>
      <c r="X154" s="1216"/>
      <c r="Y154" s="1216"/>
      <c r="Z154" s="1216"/>
      <c r="AA154" s="1688"/>
      <c r="AB154" s="622"/>
      <c r="AC154" s="622"/>
      <c r="AD154" s="622"/>
      <c r="AE154" s="622"/>
      <c r="AF154" s="1697">
        <v>11</v>
      </c>
    </row>
    <row s="3442" customFormat="1" customHeight="1" ht="11.549999999999999">
      <c r="A155" s="1043"/>
      <c r="B155" s="1692"/>
      <c r="C155" s="1692"/>
      <c r="D155" s="407"/>
      <c r="K155" s="1216"/>
      <c r="L155" s="1692"/>
      <c r="M155" s="1692"/>
      <c r="N155" s="1216"/>
      <c r="O155" s="1216"/>
      <c r="P155" s="1216"/>
      <c r="Q155" s="1216"/>
      <c r="R155" s="1692"/>
      <c r="S155" s="1216"/>
      <c r="T155" s="1216"/>
      <c r="U155" s="600"/>
      <c r="V155" s="1216"/>
      <c r="W155" s="1216"/>
      <c r="X155" s="1216"/>
      <c r="Y155" s="1216"/>
      <c r="Z155" s="1216"/>
      <c r="AA155" s="1688"/>
      <c r="AB155" s="622"/>
      <c r="AC155" s="622"/>
      <c r="AD155" s="622"/>
      <c r="AE155" s="622"/>
      <c r="AF155" s="1697">
        <v>11</v>
      </c>
    </row>
    <row s="3442" customFormat="1" customHeight="1" ht="11.549999999999999">
      <c r="A156" s="1043"/>
      <c r="B156" s="1692"/>
      <c r="C156" s="1692"/>
      <c r="D156" s="407"/>
      <c r="K156" s="1216"/>
      <c r="L156" s="1692"/>
      <c r="M156" s="1692"/>
      <c r="N156" s="1216"/>
      <c r="O156" s="1216"/>
      <c r="P156" s="1216"/>
      <c r="Q156" s="1216"/>
      <c r="R156" s="1692"/>
      <c r="S156" s="1216"/>
      <c r="T156" s="1216"/>
      <c r="U156" s="600"/>
      <c r="V156" s="1216"/>
      <c r="W156" s="1216"/>
      <c r="X156" s="1216"/>
      <c r="Y156" s="1216"/>
      <c r="Z156" s="1216"/>
      <c r="AA156" s="1688"/>
      <c r="AB156" s="622"/>
      <c r="AC156" s="622"/>
      <c r="AD156" s="622"/>
      <c r="AE156" s="622"/>
      <c r="AF156" s="1697">
        <v>11</v>
      </c>
    </row>
    <row s="3442" customFormat="1" customHeight="1" ht="11.549999999999999">
      <c r="A157" s="1043"/>
      <c r="B157" s="1692"/>
      <c r="C157" s="1692"/>
      <c r="D157" s="407"/>
      <c r="K157" s="1216"/>
      <c r="L157" s="1692"/>
      <c r="M157" s="1692"/>
      <c r="N157" s="1216"/>
      <c r="O157" s="1216"/>
      <c r="P157" s="1216"/>
      <c r="Q157" s="1216"/>
      <c r="R157" s="1692"/>
      <c r="S157" s="1216"/>
      <c r="T157" s="1216"/>
      <c r="U157" s="600"/>
      <c r="V157" s="1216"/>
      <c r="W157" s="1216"/>
      <c r="X157" s="1216"/>
      <c r="Y157" s="1216"/>
      <c r="Z157" s="1216"/>
      <c r="AA157" s="1688"/>
      <c r="AB157" s="622"/>
      <c r="AC157" s="622"/>
      <c r="AD157" s="622"/>
      <c r="AE157" s="622"/>
      <c r="AF157" s="1697">
        <v>11</v>
      </c>
    </row>
    <row s="3442" customFormat="1" customHeight="1" ht="11.549999999999999">
      <c r="A158" s="1043"/>
      <c r="B158" s="1692"/>
      <c r="C158" s="1692"/>
      <c r="D158" s="407"/>
      <c r="K158" s="1216"/>
      <c r="L158" s="1692"/>
      <c r="M158" s="1692"/>
      <c r="N158" s="1216"/>
      <c r="O158" s="1216"/>
      <c r="P158" s="1216"/>
      <c r="Q158" s="1216"/>
      <c r="R158" s="1692"/>
      <c r="S158" s="1216"/>
      <c r="T158" s="1216"/>
      <c r="U158" s="600"/>
      <c r="V158" s="1216"/>
      <c r="W158" s="1216"/>
      <c r="X158" s="1216"/>
      <c r="Y158" s="1216"/>
      <c r="Z158" s="1216"/>
      <c r="AA158" s="1688"/>
      <c r="AB158" s="622"/>
      <c r="AC158" s="622"/>
      <c r="AD158" s="622"/>
      <c r="AE158" s="622"/>
      <c r="AF158" s="1697">
        <v>11</v>
      </c>
    </row>
    <row s="3442" customFormat="1" customHeight="1" ht="11.549999999999999">
      <c r="A159" s="1043"/>
      <c r="B159" s="1692"/>
      <c r="C159" s="1692"/>
      <c r="D159" s="407"/>
      <c r="K159" s="1216"/>
      <c r="L159" s="1692"/>
      <c r="M159" s="1692"/>
      <c r="N159" s="1216"/>
      <c r="O159" s="1216"/>
      <c r="P159" s="1216"/>
      <c r="Q159" s="1216"/>
      <c r="R159" s="1692"/>
      <c r="S159" s="1216"/>
      <c r="T159" s="1216"/>
      <c r="U159" s="600"/>
      <c r="V159" s="1216"/>
      <c r="W159" s="1216"/>
      <c r="X159" s="1216"/>
      <c r="Y159" s="1216"/>
      <c r="Z159" s="1216"/>
      <c r="AA159" s="1688"/>
      <c r="AB159" s="622"/>
      <c r="AC159" s="622"/>
      <c r="AD159" s="622"/>
      <c r="AE159" s="622"/>
      <c r="AF159" s="1697">
        <v>11</v>
      </c>
    </row>
    <row s="3442" customFormat="1" customHeight="1" ht="11.549999999999999">
      <c r="A160" s="1043"/>
      <c r="B160" s="1692"/>
      <c r="C160" s="1692"/>
      <c r="D160" s="407"/>
      <c r="K160" s="1216"/>
      <c r="L160" s="1692"/>
      <c r="M160" s="1692"/>
      <c r="N160" s="1216"/>
      <c r="O160" s="1216"/>
      <c r="P160" s="1216"/>
      <c r="Q160" s="1216"/>
      <c r="R160" s="1692"/>
      <c r="S160" s="1216"/>
      <c r="T160" s="1216"/>
      <c r="U160" s="600"/>
      <c r="V160" s="1216"/>
      <c r="W160" s="1216"/>
      <c r="X160" s="1216"/>
      <c r="Y160" s="1216"/>
      <c r="Z160" s="1216"/>
      <c r="AA160" s="1688"/>
      <c r="AB160" s="622"/>
      <c r="AC160" s="622"/>
      <c r="AD160" s="622"/>
      <c r="AE160" s="622"/>
      <c r="AF160" s="1697">
        <v>11</v>
      </c>
    </row>
    <row s="3442" customFormat="1" customHeight="1" ht="11.549999999999999">
      <c r="A161" s="1043"/>
      <c r="B161" s="1692"/>
      <c r="C161" s="1692"/>
      <c r="D161" s="407"/>
      <c r="K161" s="1216"/>
      <c r="L161" s="1692"/>
      <c r="M161" s="1692"/>
      <c r="N161" s="1216"/>
      <c r="O161" s="1216"/>
      <c r="P161" s="1216"/>
      <c r="Q161" s="1216"/>
      <c r="R161" s="1692"/>
      <c r="S161" s="1216"/>
      <c r="T161" s="1216"/>
      <c r="U161" s="600"/>
      <c r="V161" s="1216"/>
      <c r="W161" s="1216"/>
      <c r="X161" s="1216"/>
      <c r="Y161" s="1216"/>
      <c r="Z161" s="1216"/>
      <c r="AA161" s="1688"/>
      <c r="AB161" s="622"/>
      <c r="AC161" s="622"/>
      <c r="AD161" s="622"/>
      <c r="AE161" s="622"/>
      <c r="AF161" s="1697">
        <v>11</v>
      </c>
    </row>
    <row s="3442" customFormat="1" customHeight="1" ht="11.549999999999999">
      <c r="A162" s="1043"/>
      <c r="B162" s="1692"/>
      <c r="C162" s="1692"/>
      <c r="D162" s="407"/>
      <c r="K162" s="1216"/>
      <c r="L162" s="1692"/>
      <c r="M162" s="1692"/>
      <c r="N162" s="1216"/>
      <c r="O162" s="1216"/>
      <c r="P162" s="1216"/>
      <c r="Q162" s="1216"/>
      <c r="R162" s="1692"/>
      <c r="S162" s="1216"/>
      <c r="T162" s="1216"/>
      <c r="U162" s="600"/>
      <c r="V162" s="1216"/>
      <c r="W162" s="1216"/>
      <c r="X162" s="1216"/>
      <c r="Y162" s="1216"/>
      <c r="Z162" s="1216"/>
      <c r="AA162" s="1688"/>
      <c r="AB162" s="622"/>
      <c r="AC162" s="622"/>
      <c r="AD162" s="622"/>
      <c r="AE162" s="622"/>
      <c r="AF162" s="1697">
        <v>11</v>
      </c>
    </row>
    <row s="3442" customFormat="1" customHeight="1" ht="11.549999999999999">
      <c r="A163" s="1043"/>
      <c r="B163" s="1692"/>
      <c r="C163" s="1692"/>
      <c r="D163" s="407"/>
      <c r="K163" s="1216"/>
      <c r="L163" s="1692"/>
      <c r="M163" s="1692"/>
      <c r="N163" s="1216"/>
      <c r="O163" s="1216"/>
      <c r="P163" s="1216"/>
      <c r="Q163" s="1216"/>
      <c r="R163" s="1692"/>
      <c r="S163" s="1216"/>
      <c r="T163" s="1216"/>
      <c r="U163" s="600"/>
      <c r="V163" s="1216"/>
      <c r="W163" s="1216"/>
      <c r="X163" s="1216"/>
      <c r="Y163" s="1216"/>
      <c r="Z163" s="1216"/>
      <c r="AA163" s="1688"/>
      <c r="AB163" s="622"/>
      <c r="AC163" s="622"/>
      <c r="AD163" s="622"/>
      <c r="AE163" s="622"/>
      <c r="AF163" s="1697">
        <v>11</v>
      </c>
    </row>
    <row s="3442" customFormat="1" customHeight="1" ht="11.549999999999999">
      <c r="A164" s="1043"/>
      <c r="B164" s="1692"/>
      <c r="C164" s="1692"/>
      <c r="D164" s="407"/>
      <c r="K164" s="1216"/>
      <c r="L164" s="1692"/>
      <c r="M164" s="1692"/>
      <c r="N164" s="1216"/>
      <c r="O164" s="1216"/>
      <c r="P164" s="1216"/>
      <c r="Q164" s="1216"/>
      <c r="R164" s="1692"/>
      <c r="S164" s="1216"/>
      <c r="T164" s="1216"/>
      <c r="U164" s="600"/>
      <c r="V164" s="1216"/>
      <c r="W164" s="1216"/>
      <c r="X164" s="1216"/>
      <c r="Y164" s="1216"/>
      <c r="Z164" s="1216"/>
      <c r="AA164" s="1688"/>
      <c r="AB164" s="622"/>
      <c r="AC164" s="622"/>
      <c r="AD164" s="622"/>
      <c r="AE164" s="622"/>
      <c r="AF164" s="1697">
        <v>11</v>
      </c>
    </row>
    <row s="3442" customFormat="1" customHeight="1" ht="11.549999999999999">
      <c r="A165" s="1043"/>
      <c r="B165" s="1692"/>
      <c r="C165" s="1692"/>
      <c r="D165" s="407"/>
      <c r="K165" s="1216"/>
      <c r="L165" s="1692"/>
      <c r="M165" s="1692"/>
      <c r="N165" s="1216"/>
      <c r="O165" s="1216"/>
      <c r="P165" s="1216"/>
      <c r="Q165" s="1216"/>
      <c r="R165" s="1692"/>
      <c r="S165" s="1216"/>
      <c r="T165" s="1216"/>
      <c r="U165" s="600"/>
      <c r="V165" s="1216"/>
      <c r="W165" s="1216"/>
      <c r="X165" s="1216"/>
      <c r="Y165" s="1216"/>
      <c r="Z165" s="1216"/>
      <c r="AA165" s="1688"/>
      <c r="AB165" s="622"/>
      <c r="AC165" s="622"/>
      <c r="AD165" s="622"/>
      <c r="AE165" s="622"/>
      <c r="AF165" s="1697">
        <v>11</v>
      </c>
    </row>
    <row s="3442" customFormat="1" customHeight="1" ht="11.549999999999999">
      <c r="A166" s="1043"/>
      <c r="B166" s="1692"/>
      <c r="C166" s="1692"/>
      <c r="D166" s="407"/>
      <c r="K166" s="1216"/>
      <c r="L166" s="1692"/>
      <c r="M166" s="1692"/>
      <c r="N166" s="1216"/>
      <c r="O166" s="1216"/>
      <c r="P166" s="1216"/>
      <c r="Q166" s="1216"/>
      <c r="R166" s="1692"/>
      <c r="S166" s="1216"/>
      <c r="T166" s="1216"/>
      <c r="U166" s="600"/>
      <c r="V166" s="1216"/>
      <c r="W166" s="1216"/>
      <c r="X166" s="1216"/>
      <c r="Y166" s="1216"/>
      <c r="Z166" s="1216"/>
      <c r="AA166" s="1688"/>
      <c r="AB166" s="622"/>
      <c r="AC166" s="622"/>
      <c r="AD166" s="622"/>
      <c r="AE166" s="622"/>
      <c r="AF166" s="1697">
        <v>11</v>
      </c>
    </row>
    <row s="3442" customFormat="1" customHeight="1" ht="11.549999999999999">
      <c r="A167" s="1043"/>
      <c r="B167" s="1692"/>
      <c r="C167" s="1692"/>
      <c r="D167" s="407"/>
      <c r="K167" s="1216"/>
      <c r="L167" s="1692"/>
      <c r="M167" s="1692"/>
      <c r="N167" s="1216"/>
      <c r="O167" s="1216"/>
      <c r="P167" s="1216"/>
      <c r="Q167" s="1216"/>
      <c r="R167" s="1692"/>
      <c r="S167" s="1216"/>
      <c r="T167" s="1216"/>
      <c r="U167" s="600"/>
      <c r="V167" s="1216"/>
      <c r="W167" s="1216"/>
      <c r="X167" s="1216"/>
      <c r="Y167" s="1216"/>
      <c r="Z167" s="1216"/>
      <c r="AA167" s="1688"/>
      <c r="AB167" s="622"/>
      <c r="AC167" s="622"/>
      <c r="AD167" s="622"/>
      <c r="AE167" s="622"/>
      <c r="AF167" s="1697">
        <v>11</v>
      </c>
    </row>
    <row s="3442" customFormat="1" customHeight="1" ht="11.549999999999999">
      <c r="A168" s="1043"/>
      <c r="B168" s="1692"/>
      <c r="C168" s="1692"/>
      <c r="D168" s="407"/>
      <c r="K168" s="1216"/>
      <c r="L168" s="1692"/>
      <c r="M168" s="1692"/>
      <c r="N168" s="1216"/>
      <c r="O168" s="1216"/>
      <c r="P168" s="1216"/>
      <c r="Q168" s="1216"/>
      <c r="R168" s="1692"/>
      <c r="S168" s="1216"/>
      <c r="T168" s="1216"/>
      <c r="U168" s="600"/>
      <c r="V168" s="1216"/>
      <c r="W168" s="1216"/>
      <c r="X168" s="1216"/>
      <c r="Y168" s="1216"/>
      <c r="Z168" s="1216"/>
      <c r="AA168" s="1688"/>
      <c r="AB168" s="622"/>
      <c r="AC168" s="622"/>
      <c r="AD168" s="622"/>
      <c r="AE168" s="622"/>
      <c r="AF168" s="1697">
        <v>11</v>
      </c>
    </row>
    <row s="3442" customFormat="1" customHeight="1" ht="11.549999999999999">
      <c r="A169" s="1043"/>
      <c r="B169" s="1692"/>
      <c r="C169" s="1692"/>
      <c r="D169" s="407"/>
      <c r="K169" s="1216"/>
      <c r="L169" s="1692"/>
      <c r="M169" s="1692"/>
      <c r="N169" s="1216"/>
      <c r="O169" s="1216"/>
      <c r="P169" s="1216"/>
      <c r="Q169" s="1216"/>
      <c r="R169" s="1692"/>
      <c r="S169" s="1216"/>
      <c r="T169" s="1216"/>
      <c r="U169" s="600"/>
      <c r="V169" s="1216"/>
      <c r="W169" s="1216"/>
      <c r="X169" s="1216"/>
      <c r="Y169" s="1216"/>
      <c r="Z169" s="1216"/>
      <c r="AA169" s="1688"/>
      <c r="AB169" s="622"/>
      <c r="AC169" s="622"/>
      <c r="AD169" s="622"/>
      <c r="AE169" s="622"/>
      <c r="AF169" s="1697">
        <v>11</v>
      </c>
    </row>
    <row s="3442" customFormat="1" customHeight="1" ht="11.549999999999999">
      <c r="A170" s="1043"/>
      <c r="B170" s="1692"/>
      <c r="C170" s="1692"/>
      <c r="D170" s="407"/>
      <c r="K170" s="1216"/>
      <c r="L170" s="1692"/>
      <c r="M170" s="1692"/>
      <c r="N170" s="1216"/>
      <c r="O170" s="1216"/>
      <c r="P170" s="1216"/>
      <c r="Q170" s="1216"/>
      <c r="R170" s="1692"/>
      <c r="S170" s="1216"/>
      <c r="T170" s="1216"/>
      <c r="U170" s="600"/>
      <c r="V170" s="1216"/>
      <c r="W170" s="1216"/>
      <c r="X170" s="1216"/>
      <c r="Y170" s="1216"/>
      <c r="Z170" s="1216"/>
      <c r="AA170" s="1688"/>
      <c r="AB170" s="622"/>
      <c r="AC170" s="622"/>
      <c r="AD170" s="622"/>
      <c r="AE170" s="622"/>
      <c r="AF170" s="1697">
        <v>11</v>
      </c>
    </row>
    <row s="3442" customFormat="1" customHeight="1" ht="11.549999999999999">
      <c r="A171" s="1043"/>
      <c r="B171" s="1692"/>
      <c r="C171" s="1692"/>
      <c r="D171" s="407"/>
      <c r="K171" s="1216"/>
      <c r="L171" s="1692"/>
      <c r="M171" s="1692"/>
      <c r="N171" s="1216"/>
      <c r="O171" s="1216"/>
      <c r="P171" s="1216"/>
      <c r="Q171" s="1216"/>
      <c r="R171" s="1692"/>
      <c r="S171" s="1216"/>
      <c r="T171" s="1216"/>
      <c r="U171" s="600"/>
      <c r="V171" s="1216"/>
      <c r="W171" s="1216"/>
      <c r="X171" s="1216"/>
      <c r="Y171" s="1216"/>
      <c r="Z171" s="1216"/>
      <c r="AA171" s="1688"/>
      <c r="AB171" s="622"/>
      <c r="AC171" s="622"/>
      <c r="AD171" s="622"/>
      <c r="AE171" s="622"/>
      <c r="AF171" s="1697">
        <v>11</v>
      </c>
    </row>
    <row s="3442" customFormat="1" customHeight="1" ht="11.549999999999999">
      <c r="A172" s="1043"/>
      <c r="B172" s="1692"/>
      <c r="C172" s="1692"/>
      <c r="D172" s="407"/>
      <c r="K172" s="1216"/>
      <c r="L172" s="1692"/>
      <c r="M172" s="1692"/>
      <c r="N172" s="1216"/>
      <c r="O172" s="1216"/>
      <c r="P172" s="1216"/>
      <c r="Q172" s="1216"/>
      <c r="R172" s="1692"/>
      <c r="S172" s="1216"/>
      <c r="T172" s="1216"/>
      <c r="U172" s="600"/>
      <c r="V172" s="1216"/>
      <c r="W172" s="1216"/>
      <c r="X172" s="1216"/>
      <c r="Y172" s="1216"/>
      <c r="Z172" s="1216"/>
      <c r="AA172" s="1688"/>
      <c r="AB172" s="622"/>
      <c r="AC172" s="622"/>
      <c r="AD172" s="622"/>
      <c r="AE172" s="622"/>
      <c r="AF172" s="1697">
        <v>11</v>
      </c>
    </row>
    <row s="3442" customFormat="1" customHeight="1" ht="11.549999999999999">
      <c r="A173" s="1043"/>
      <c r="B173" s="1692"/>
      <c r="C173" s="1692"/>
      <c r="D173" s="407"/>
      <c r="K173" s="1216"/>
      <c r="L173" s="1692"/>
      <c r="M173" s="1692"/>
      <c r="N173" s="1216"/>
      <c r="O173" s="1216"/>
      <c r="P173" s="1216"/>
      <c r="Q173" s="1216"/>
      <c r="R173" s="1692"/>
      <c r="S173" s="1216"/>
      <c r="T173" s="1216"/>
      <c r="U173" s="600"/>
      <c r="V173" s="1216"/>
      <c r="W173" s="1216"/>
      <c r="X173" s="1216"/>
      <c r="Y173" s="1216"/>
      <c r="Z173" s="1216"/>
      <c r="AA173" s="1688"/>
      <c r="AB173" s="622"/>
      <c r="AC173" s="622"/>
      <c r="AD173" s="622"/>
      <c r="AE173" s="622"/>
      <c r="AF173" s="1697">
        <v>11</v>
      </c>
    </row>
    <row s="3442" customFormat="1" customHeight="1" ht="11.549999999999999">
      <c r="A174" s="1043"/>
      <c r="B174" s="1692"/>
      <c r="C174" s="1692"/>
      <c r="D174" s="407"/>
      <c r="K174" s="1216"/>
      <c r="L174" s="1692"/>
      <c r="M174" s="1692"/>
      <c r="N174" s="1216"/>
      <c r="O174" s="1216"/>
      <c r="P174" s="1216"/>
      <c r="Q174" s="1216"/>
      <c r="R174" s="1692"/>
      <c r="S174" s="1216"/>
      <c r="T174" s="1216"/>
      <c r="U174" s="600"/>
      <c r="V174" s="1216"/>
      <c r="W174" s="1216"/>
      <c r="X174" s="1216"/>
      <c r="Y174" s="1216"/>
      <c r="Z174" s="1216"/>
      <c r="AA174" s="1688"/>
      <c r="AB174" s="622"/>
      <c r="AC174" s="622"/>
      <c r="AD174" s="622"/>
      <c r="AE174" s="622"/>
      <c r="AF174" s="1697">
        <v>11</v>
      </c>
    </row>
    <row s="3442" customFormat="1" customHeight="1" ht="11.549999999999999">
      <c r="A175" s="1043"/>
      <c r="B175" s="1692"/>
      <c r="C175" s="1692"/>
      <c r="D175" s="407"/>
      <c r="K175" s="1216"/>
      <c r="L175" s="1692"/>
      <c r="M175" s="1692"/>
      <c r="N175" s="1216"/>
      <c r="O175" s="1216"/>
      <c r="P175" s="1216"/>
      <c r="Q175" s="1216"/>
      <c r="R175" s="1692"/>
      <c r="S175" s="1216"/>
      <c r="T175" s="1216"/>
      <c r="U175" s="600"/>
      <c r="V175" s="1216"/>
      <c r="W175" s="1216"/>
      <c r="X175" s="1216"/>
      <c r="Y175" s="1216"/>
      <c r="Z175" s="1216"/>
      <c r="AA175" s="1688"/>
      <c r="AB175" s="622"/>
      <c r="AC175" s="622"/>
      <c r="AD175" s="622"/>
      <c r="AE175" s="622"/>
      <c r="AF175" s="1697">
        <v>11</v>
      </c>
    </row>
    <row s="3442" customFormat="1" customHeight="1" ht="11.549999999999999">
      <c r="A176" s="1043"/>
      <c r="B176" s="1692"/>
      <c r="C176" s="1692"/>
      <c r="D176" s="407"/>
      <c r="K176" s="1216"/>
      <c r="L176" s="1692"/>
      <c r="M176" s="1692"/>
      <c r="N176" s="1216"/>
      <c r="O176" s="1216"/>
      <c r="P176" s="1216"/>
      <c r="Q176" s="1216"/>
      <c r="R176" s="1692"/>
      <c r="S176" s="1216"/>
      <c r="T176" s="1216"/>
      <c r="U176" s="600"/>
      <c r="V176" s="1216"/>
      <c r="W176" s="1216"/>
      <c r="X176" s="1216"/>
      <c r="Y176" s="1216"/>
      <c r="Z176" s="1216"/>
      <c r="AA176" s="1688"/>
      <c r="AB176" s="622"/>
      <c r="AC176" s="622"/>
      <c r="AD176" s="622"/>
      <c r="AE176" s="622"/>
      <c r="AF176" s="1697">
        <v>11</v>
      </c>
    </row>
    <row s="3442" customFormat="1" customHeight="1" ht="11.549999999999999">
      <c r="A177" s="1043"/>
      <c r="B177" s="1692"/>
      <c r="C177" s="1692"/>
      <c r="D177" s="407"/>
      <c r="K177" s="1216"/>
      <c r="L177" s="1692"/>
      <c r="M177" s="1692"/>
      <c r="N177" s="1216"/>
      <c r="O177" s="1216"/>
      <c r="P177" s="1216"/>
      <c r="Q177" s="1216"/>
      <c r="R177" s="1692"/>
      <c r="S177" s="1216"/>
      <c r="T177" s="1216"/>
      <c r="U177" s="600"/>
      <c r="V177" s="1216"/>
      <c r="W177" s="1216"/>
      <c r="X177" s="1216"/>
      <c r="Y177" s="1216"/>
      <c r="Z177" s="1216"/>
      <c r="AA177" s="1688"/>
      <c r="AB177" s="622"/>
      <c r="AC177" s="622"/>
      <c r="AD177" s="622"/>
      <c r="AE177" s="622"/>
      <c r="AF177" s="1697">
        <v>11</v>
      </c>
    </row>
    <row s="3442" customFormat="1" customHeight="1" ht="11.549999999999999">
      <c r="A178" s="1043"/>
      <c r="B178" s="1692"/>
      <c r="C178" s="1692"/>
      <c r="D178" s="407"/>
      <c r="K178" s="1216"/>
      <c r="L178" s="1692"/>
      <c r="M178" s="1692"/>
      <c r="N178" s="1216"/>
      <c r="O178" s="1216"/>
      <c r="P178" s="1216"/>
      <c r="Q178" s="1216"/>
      <c r="R178" s="1692"/>
      <c r="S178" s="1216"/>
      <c r="T178" s="1216"/>
      <c r="U178" s="600"/>
      <c r="V178" s="1216"/>
      <c r="W178" s="1216"/>
      <c r="X178" s="1216"/>
      <c r="Y178" s="1216"/>
      <c r="Z178" s="1216"/>
      <c r="AA178" s="1688"/>
      <c r="AB178" s="622"/>
      <c r="AC178" s="622"/>
      <c r="AD178" s="622"/>
      <c r="AE178" s="622"/>
      <c r="AF178" s="1697">
        <v>11</v>
      </c>
    </row>
    <row s="3442" customFormat="1" customHeight="1" ht="11.549999999999999">
      <c r="A179" s="1043"/>
      <c r="B179" s="1692"/>
      <c r="C179" s="1692"/>
      <c r="D179" s="407"/>
      <c r="K179" s="1216"/>
      <c r="L179" s="1692"/>
      <c r="M179" s="1692"/>
      <c r="N179" s="1216"/>
      <c r="O179" s="1216"/>
      <c r="P179" s="1216"/>
      <c r="Q179" s="1216"/>
      <c r="R179" s="1692"/>
      <c r="S179" s="1216"/>
      <c r="T179" s="1216"/>
      <c r="U179" s="600"/>
      <c r="V179" s="1216"/>
      <c r="W179" s="1216"/>
      <c r="X179" s="1216"/>
      <c r="Y179" s="1216"/>
      <c r="Z179" s="1216"/>
      <c r="AA179" s="1688"/>
      <c r="AB179" s="622"/>
      <c r="AC179" s="622"/>
      <c r="AD179" s="622"/>
      <c r="AE179" s="622"/>
      <c r="AF179" s="1697">
        <v>11</v>
      </c>
    </row>
    <row s="3442" customFormat="1" customHeight="1" ht="11.549999999999999">
      <c r="A180" s="1043"/>
      <c r="B180" s="1692"/>
      <c r="C180" s="1692"/>
      <c r="D180" s="407"/>
      <c r="K180" s="1216"/>
      <c r="L180" s="1692"/>
      <c r="M180" s="1692"/>
      <c r="N180" s="1216"/>
      <c r="O180" s="1216"/>
      <c r="P180" s="1216"/>
      <c r="Q180" s="1216"/>
      <c r="R180" s="1692"/>
      <c r="S180" s="1216"/>
      <c r="T180" s="1216"/>
      <c r="U180" s="600"/>
      <c r="V180" s="1216"/>
      <c r="W180" s="1216"/>
      <c r="X180" s="1216"/>
      <c r="Y180" s="1216"/>
      <c r="Z180" s="1216"/>
      <c r="AA180" s="1688"/>
      <c r="AB180" s="622"/>
      <c r="AC180" s="622"/>
      <c r="AD180" s="622"/>
      <c r="AE180" s="622"/>
      <c r="AF180" s="1697">
        <v>11</v>
      </c>
    </row>
    <row s="3442" customFormat="1" customHeight="1" ht="11.549999999999999">
      <c r="A181" s="1043"/>
      <c r="B181" s="1692"/>
      <c r="C181" s="1692"/>
      <c r="D181" s="407"/>
      <c r="K181" s="1216"/>
      <c r="L181" s="1692"/>
      <c r="M181" s="1692"/>
      <c r="N181" s="1216"/>
      <c r="O181" s="1216"/>
      <c r="P181" s="1216"/>
      <c r="Q181" s="1216"/>
      <c r="R181" s="1692"/>
      <c r="S181" s="1216"/>
      <c r="T181" s="1216"/>
      <c r="U181" s="600"/>
      <c r="V181" s="1216"/>
      <c r="W181" s="1216"/>
      <c r="X181" s="1216"/>
      <c r="Y181" s="1216"/>
      <c r="Z181" s="1216"/>
      <c r="AA181" s="1688"/>
      <c r="AB181" s="622"/>
      <c r="AC181" s="622"/>
      <c r="AD181" s="622"/>
      <c r="AE181" s="622"/>
      <c r="AF181" s="1697">
        <v>11</v>
      </c>
    </row>
    <row s="3442" customFormat="1" customHeight="1" ht="11.549999999999999">
      <c r="A182" s="1043"/>
      <c r="B182" s="1692"/>
      <c r="C182" s="1692"/>
      <c r="D182" s="407"/>
      <c r="K182" s="1216"/>
      <c r="L182" s="1692"/>
      <c r="M182" s="1692"/>
      <c r="N182" s="1216"/>
      <c r="O182" s="1216"/>
      <c r="P182" s="1216"/>
      <c r="Q182" s="1216"/>
      <c r="R182" s="1692"/>
      <c r="S182" s="1216"/>
      <c r="T182" s="1216"/>
      <c r="U182" s="600"/>
      <c r="V182" s="1216"/>
      <c r="W182" s="1216"/>
      <c r="X182" s="1216"/>
      <c r="Y182" s="1216"/>
      <c r="Z182" s="1216"/>
      <c r="AA182" s="1688"/>
      <c r="AB182" s="622"/>
      <c r="AC182" s="622"/>
      <c r="AD182" s="622"/>
      <c r="AE182" s="622"/>
      <c r="AF182" s="1697">
        <v>11</v>
      </c>
    </row>
    <row s="3442" customFormat="1" customHeight="1" ht="11.549999999999999">
      <c r="A183" s="1043"/>
      <c r="B183" s="1692"/>
      <c r="C183" s="1692"/>
      <c r="D183" s="407"/>
      <c r="K183" s="1216"/>
      <c r="L183" s="1692"/>
      <c r="M183" s="1692"/>
      <c r="N183" s="1216"/>
      <c r="O183" s="1216"/>
      <c r="P183" s="1216"/>
      <c r="Q183" s="1216"/>
      <c r="R183" s="1692"/>
      <c r="S183" s="1216"/>
      <c r="T183" s="1216"/>
      <c r="U183" s="600"/>
      <c r="V183" s="1216"/>
      <c r="W183" s="1216"/>
      <c r="X183" s="1216"/>
      <c r="Y183" s="1216"/>
      <c r="Z183" s="1216"/>
      <c r="AA183" s="1688"/>
      <c r="AB183" s="622"/>
      <c r="AC183" s="622"/>
      <c r="AD183" s="622"/>
      <c r="AE183" s="622"/>
      <c r="AF183" s="1697">
        <v>11</v>
      </c>
    </row>
    <row s="3442" customFormat="1" customHeight="1" ht="11.549999999999999">
      <c r="A184" s="1043"/>
      <c r="B184" s="1692"/>
      <c r="C184" s="1692"/>
      <c r="D184" s="407"/>
      <c r="K184" s="1216"/>
      <c r="L184" s="1692"/>
      <c r="M184" s="1692"/>
      <c r="N184" s="1216"/>
      <c r="O184" s="1216"/>
      <c r="P184" s="1216"/>
      <c r="Q184" s="1216"/>
      <c r="R184" s="1692"/>
      <c r="S184" s="1216"/>
      <c r="T184" s="1216"/>
      <c r="U184" s="600"/>
      <c r="V184" s="1216"/>
      <c r="W184" s="1216"/>
      <c r="X184" s="1216"/>
      <c r="Y184" s="1216"/>
      <c r="Z184" s="1216"/>
      <c r="AA184" s="1688"/>
      <c r="AB184" s="622"/>
      <c r="AC184" s="622"/>
      <c r="AD184" s="622"/>
      <c r="AE184" s="622"/>
      <c r="AF184" s="1697">
        <v>11</v>
      </c>
    </row>
    <row s="3442" customFormat="1" customHeight="1" ht="11.549999999999999">
      <c r="A185" s="1043"/>
      <c r="B185" s="1692"/>
      <c r="C185" s="1692"/>
      <c r="D185" s="407"/>
      <c r="K185" s="1216"/>
      <c r="L185" s="1692"/>
      <c r="M185" s="1692"/>
      <c r="N185" s="1216"/>
      <c r="O185" s="1216"/>
      <c r="P185" s="1216"/>
      <c r="Q185" s="1216"/>
      <c r="R185" s="1692"/>
      <c r="S185" s="1216"/>
      <c r="T185" s="1216"/>
      <c r="U185" s="600"/>
      <c r="V185" s="1216"/>
      <c r="W185" s="1216"/>
      <c r="X185" s="1216"/>
      <c r="Y185" s="1216"/>
      <c r="Z185" s="1216"/>
      <c r="AA185" s="1688"/>
      <c r="AB185" s="622"/>
      <c r="AC185" s="622"/>
      <c r="AD185" s="622"/>
      <c r="AE185" s="622"/>
      <c r="AF185" s="1697">
        <v>11</v>
      </c>
    </row>
    <row s="3442" customFormat="1" customHeight="1" ht="11.549999999999999">
      <c r="A186" s="1043"/>
      <c r="B186" s="1692"/>
      <c r="C186" s="1692"/>
      <c r="D186" s="407"/>
      <c r="K186" s="1216"/>
      <c r="L186" s="1692"/>
      <c r="M186" s="1692"/>
      <c r="N186" s="1216"/>
      <c r="O186" s="1216"/>
      <c r="P186" s="1216"/>
      <c r="Q186" s="1216"/>
      <c r="R186" s="1692"/>
      <c r="S186" s="1216"/>
      <c r="T186" s="1216"/>
      <c r="U186" s="600"/>
      <c r="V186" s="1216"/>
      <c r="W186" s="1216"/>
      <c r="X186" s="1216"/>
      <c r="Y186" s="1216"/>
      <c r="Z186" s="1216"/>
      <c r="AA186" s="1688"/>
      <c r="AB186" s="622"/>
      <c r="AC186" s="622"/>
      <c r="AD186" s="622"/>
      <c r="AE186" s="622"/>
      <c r="AF186" s="1697">
        <v>11</v>
      </c>
    </row>
    <row s="3442" customFormat="1" customHeight="1" ht="11.549999999999999">
      <c r="A187" s="1043"/>
      <c r="B187" s="1692"/>
      <c r="C187" s="1692"/>
      <c r="D187" s="407"/>
      <c r="K187" s="1216"/>
      <c r="L187" s="1692"/>
      <c r="M187" s="1692"/>
      <c r="N187" s="1216"/>
      <c r="O187" s="1216"/>
      <c r="P187" s="1216"/>
      <c r="Q187" s="1216"/>
      <c r="R187" s="1692"/>
      <c r="S187" s="1216"/>
      <c r="T187" s="1216"/>
      <c r="U187" s="600"/>
      <c r="V187" s="1216"/>
      <c r="W187" s="1216"/>
      <c r="X187" s="1216"/>
      <c r="Y187" s="1216"/>
      <c r="Z187" s="1216"/>
      <c r="AA187" s="1688"/>
      <c r="AB187" s="622"/>
      <c r="AC187" s="622"/>
      <c r="AD187" s="622"/>
      <c r="AE187" s="622"/>
      <c r="AF187" s="1697">
        <v>11</v>
      </c>
    </row>
    <row s="3442" customFormat="1" customHeight="1" ht="11.549999999999999">
      <c r="A188" s="1043"/>
      <c r="B188" s="1692"/>
      <c r="C188" s="1692"/>
      <c r="D188" s="407"/>
      <c r="K188" s="1216"/>
      <c r="L188" s="1692"/>
      <c r="M188" s="1692"/>
      <c r="N188" s="1216"/>
      <c r="O188" s="1216"/>
      <c r="P188" s="1216"/>
      <c r="Q188" s="1216"/>
      <c r="R188" s="1692"/>
      <c r="S188" s="1216"/>
      <c r="T188" s="1216"/>
      <c r="U188" s="600"/>
      <c r="V188" s="1216"/>
      <c r="W188" s="1216"/>
      <c r="X188" s="1216"/>
      <c r="Y188" s="1216"/>
      <c r="Z188" s="1216"/>
      <c r="AA188" s="1688"/>
      <c r="AB188" s="622"/>
      <c r="AC188" s="622"/>
      <c r="AD188" s="622"/>
      <c r="AE188" s="622"/>
      <c r="AF188" s="1697">
        <v>11</v>
      </c>
    </row>
    <row s="3442" customFormat="1" customHeight="1" ht="11.549999999999999">
      <c r="A189" s="1043"/>
      <c r="B189" s="1692"/>
      <c r="C189" s="1692"/>
      <c r="D189" s="407"/>
      <c r="K189" s="1216"/>
      <c r="L189" s="1692"/>
      <c r="M189" s="1692"/>
      <c r="N189" s="1216"/>
      <c r="O189" s="1216"/>
      <c r="P189" s="1216"/>
      <c r="Q189" s="1216"/>
      <c r="R189" s="1692"/>
      <c r="S189" s="1216"/>
      <c r="T189" s="1216"/>
      <c r="U189" s="600"/>
      <c r="V189" s="1216"/>
      <c r="W189" s="1216"/>
      <c r="X189" s="1216"/>
      <c r="Y189" s="1216"/>
      <c r="Z189" s="1216"/>
      <c r="AA189" s="1688"/>
      <c r="AB189" s="622"/>
      <c r="AC189" s="622"/>
      <c r="AD189" s="622"/>
      <c r="AE189" s="622"/>
      <c r="AF189" s="1697">
        <v>11</v>
      </c>
    </row>
    <row s="3442" customFormat="1" customHeight="1" ht="11.549999999999999">
      <c r="A190" s="1043"/>
      <c r="B190" s="1692"/>
      <c r="C190" s="1692"/>
      <c r="D190" s="407"/>
      <c r="K190" s="1216"/>
      <c r="L190" s="1692"/>
      <c r="M190" s="1692"/>
      <c r="N190" s="1216"/>
      <c r="O190" s="1216"/>
      <c r="P190" s="1216"/>
      <c r="Q190" s="1216"/>
      <c r="R190" s="1692"/>
      <c r="S190" s="1216"/>
      <c r="T190" s="1216"/>
      <c r="U190" s="600"/>
      <c r="V190" s="1216"/>
      <c r="W190" s="1216"/>
      <c r="X190" s="1216"/>
      <c r="Y190" s="1216"/>
      <c r="Z190" s="1216"/>
      <c r="AA190" s="1688"/>
      <c r="AB190" s="622"/>
      <c r="AC190" s="622"/>
      <c r="AD190" s="622"/>
      <c r="AE190" s="622"/>
      <c r="AF190" s="1697">
        <v>11</v>
      </c>
    </row>
    <row s="3442" customFormat="1" customHeight="1" ht="11.549999999999999">
      <c r="A191" s="1043"/>
      <c r="B191" s="1692"/>
      <c r="C191" s="1692"/>
      <c r="D191" s="407"/>
      <c r="K191" s="1216"/>
      <c r="L191" s="1692"/>
      <c r="M191" s="1692"/>
      <c r="N191" s="1216"/>
      <c r="O191" s="1216"/>
      <c r="P191" s="1216"/>
      <c r="Q191" s="1216"/>
      <c r="R191" s="1692"/>
      <c r="S191" s="1216"/>
      <c r="T191" s="1216"/>
      <c r="U191" s="600"/>
      <c r="V191" s="1216"/>
      <c r="W191" s="1216"/>
      <c r="X191" s="1216"/>
      <c r="Y191" s="1216"/>
      <c r="Z191" s="1216"/>
      <c r="AA191" s="1688"/>
      <c r="AB191" s="622"/>
      <c r="AC191" s="622"/>
      <c r="AD191" s="622"/>
      <c r="AE191" s="622"/>
      <c r="AF191" s="1697">
        <v>11</v>
      </c>
    </row>
    <row s="3442" customFormat="1" customHeight="1" ht="11.549999999999999">
      <c r="A192" s="1043"/>
      <c r="B192" s="1692"/>
      <c r="C192" s="1692"/>
      <c r="D192" s="407"/>
      <c r="K192" s="1216"/>
      <c r="L192" s="1692"/>
      <c r="M192" s="1692"/>
      <c r="N192" s="1216"/>
      <c r="O192" s="1216"/>
      <c r="P192" s="1216"/>
      <c r="Q192" s="1216"/>
      <c r="R192" s="1692"/>
      <c r="S192" s="1216"/>
      <c r="T192" s="1216"/>
      <c r="U192" s="600"/>
      <c r="V192" s="1216"/>
      <c r="W192" s="1216"/>
      <c r="X192" s="1216"/>
      <c r="Y192" s="1216"/>
      <c r="Z192" s="1216"/>
      <c r="AA192" s="1688"/>
      <c r="AB192" s="622"/>
      <c r="AC192" s="622"/>
      <c r="AD192" s="622"/>
      <c r="AE192" s="622"/>
      <c r="AF192" s="1697">
        <v>11</v>
      </c>
    </row>
    <row s="3442" customFormat="1" customHeight="1" ht="11.549999999999999">
      <c r="A193" s="1043"/>
      <c r="B193" s="1692"/>
      <c r="C193" s="1692"/>
      <c r="D193" s="407"/>
      <c r="K193" s="1216"/>
      <c r="L193" s="1692"/>
      <c r="M193" s="1692"/>
      <c r="N193" s="1216"/>
      <c r="O193" s="1216"/>
      <c r="P193" s="1216"/>
      <c r="Q193" s="1216"/>
      <c r="R193" s="1692"/>
      <c r="S193" s="1216"/>
      <c r="T193" s="1216"/>
      <c r="U193" s="600"/>
      <c r="V193" s="1216"/>
      <c r="W193" s="1216"/>
      <c r="X193" s="1216"/>
      <c r="Y193" s="1216"/>
      <c r="Z193" s="1216"/>
      <c r="AA193" s="1688"/>
      <c r="AB193" s="622"/>
      <c r="AC193" s="622"/>
      <c r="AD193" s="622"/>
      <c r="AE193" s="622"/>
      <c r="AF193" s="1697">
        <v>11</v>
      </c>
    </row>
    <row s="3442" customFormat="1" customHeight="1" ht="11.549999999999999">
      <c r="A194" s="1043"/>
      <c r="B194" s="1692"/>
      <c r="C194" s="1692"/>
      <c r="D194" s="407"/>
      <c r="K194" s="1216"/>
      <c r="L194" s="1692"/>
      <c r="M194" s="1692"/>
      <c r="N194" s="1216"/>
      <c r="O194" s="1216"/>
      <c r="P194" s="1216"/>
      <c r="Q194" s="1216"/>
      <c r="R194" s="1692"/>
      <c r="S194" s="1216"/>
      <c r="T194" s="1216"/>
      <c r="U194" s="600"/>
      <c r="V194" s="1216"/>
      <c r="W194" s="1216"/>
      <c r="X194" s="1216"/>
      <c r="Y194" s="1216"/>
      <c r="Z194" s="1216"/>
      <c r="AA194" s="1688"/>
      <c r="AB194" s="622"/>
      <c r="AC194" s="622"/>
      <c r="AD194" s="622"/>
      <c r="AE194" s="622"/>
      <c r="AF194" s="1697">
        <v>11</v>
      </c>
    </row>
    <row s="3442" customFormat="1" customHeight="1" ht="11.549999999999999">
      <c r="A195" s="1043"/>
      <c r="B195" s="1692"/>
      <c r="C195" s="1692"/>
      <c r="D195" s="407"/>
      <c r="K195" s="1216"/>
      <c r="L195" s="1692"/>
      <c r="M195" s="1692"/>
      <c r="N195" s="1216"/>
      <c r="O195" s="1216"/>
      <c r="P195" s="1216"/>
      <c r="Q195" s="1216"/>
      <c r="R195" s="1692"/>
      <c r="S195" s="1216"/>
      <c r="T195" s="1216"/>
      <c r="U195" s="600"/>
      <c r="V195" s="1216"/>
      <c r="W195" s="1216"/>
      <c r="X195" s="1216"/>
      <c r="Y195" s="1216"/>
      <c r="Z195" s="1216"/>
      <c r="AA195" s="1688"/>
      <c r="AB195" s="622"/>
      <c r="AC195" s="622"/>
      <c r="AD195" s="622"/>
      <c r="AE195" s="622"/>
      <c r="AF195" s="1697">
        <v>11</v>
      </c>
    </row>
    <row s="3442" customFormat="1" customHeight="1" ht="11.549999999999999">
      <c r="A196" s="1043"/>
      <c r="B196" s="1692"/>
      <c r="C196" s="1692"/>
      <c r="D196" s="407"/>
      <c r="K196" s="1216"/>
      <c r="L196" s="1692"/>
      <c r="M196" s="1692"/>
      <c r="N196" s="1216"/>
      <c r="O196" s="1216"/>
      <c r="P196" s="1216"/>
      <c r="Q196" s="1216"/>
      <c r="R196" s="1692"/>
      <c r="S196" s="1216"/>
      <c r="T196" s="1216"/>
      <c r="U196" s="600"/>
      <c r="V196" s="1216"/>
      <c r="W196" s="1216"/>
      <c r="X196" s="1216"/>
      <c r="Y196" s="1216"/>
      <c r="Z196" s="1216"/>
      <c r="AA196" s="1688"/>
      <c r="AB196" s="622"/>
      <c r="AC196" s="622"/>
      <c r="AD196" s="622"/>
      <c r="AE196" s="622"/>
      <c r="AF196" s="1697">
        <v>11</v>
      </c>
    </row>
    <row s="3442" customFormat="1" customHeight="1" ht="11.549999999999999">
      <c r="A197" s="1043"/>
      <c r="B197" s="1692"/>
      <c r="C197" s="1692"/>
      <c r="D197" s="407"/>
      <c r="K197" s="1216"/>
      <c r="L197" s="1692"/>
      <c r="M197" s="1692"/>
      <c r="N197" s="1216"/>
      <c r="O197" s="1216"/>
      <c r="P197" s="1216"/>
      <c r="Q197" s="1216"/>
      <c r="R197" s="1692"/>
      <c r="S197" s="1216"/>
      <c r="T197" s="1216"/>
      <c r="U197" s="600"/>
      <c r="V197" s="1216"/>
      <c r="W197" s="1216"/>
      <c r="X197" s="1216"/>
      <c r="Y197" s="1216"/>
      <c r="Z197" s="1216"/>
      <c r="AA197" s="1688"/>
      <c r="AB197" s="622"/>
      <c r="AC197" s="622"/>
      <c r="AD197" s="622"/>
      <c r="AE197" s="622"/>
      <c r="AF197" s="1697">
        <v>11</v>
      </c>
    </row>
    <row s="3442" customFormat="1" customHeight="1" ht="11.549999999999999">
      <c r="A198" s="1043"/>
      <c r="B198" s="1692"/>
      <c r="C198" s="1692"/>
      <c r="D198" s="407"/>
      <c r="K198" s="1216"/>
      <c r="L198" s="1692"/>
      <c r="M198" s="1692"/>
      <c r="N198" s="1216"/>
      <c r="O198" s="1216"/>
      <c r="P198" s="1216"/>
      <c r="Q198" s="1216"/>
      <c r="R198" s="1692"/>
      <c r="S198" s="1216"/>
      <c r="T198" s="1216"/>
      <c r="U198" s="600"/>
      <c r="V198" s="1216"/>
      <c r="W198" s="1216"/>
      <c r="X198" s="1216"/>
      <c r="Y198" s="1216"/>
      <c r="Z198" s="1216"/>
      <c r="AA198" s="1688"/>
      <c r="AB198" s="622"/>
      <c r="AC198" s="622"/>
      <c r="AD198" s="622"/>
      <c r="AE198" s="622"/>
      <c r="AF198" s="1697">
        <v>11</v>
      </c>
    </row>
    <row s="3442" customFormat="1" customHeight="1" ht="11.549999999999999">
      <c r="A199" s="1043"/>
      <c r="B199" s="1692"/>
      <c r="C199" s="1692"/>
      <c r="D199" s="407"/>
      <c r="K199" s="1216"/>
      <c r="L199" s="1692"/>
      <c r="M199" s="1692"/>
      <c r="N199" s="1216"/>
      <c r="O199" s="1216"/>
      <c r="P199" s="1216"/>
      <c r="Q199" s="1216"/>
      <c r="R199" s="1692"/>
      <c r="S199" s="1216"/>
      <c r="T199" s="1216"/>
      <c r="U199" s="600"/>
      <c r="V199" s="1216"/>
      <c r="W199" s="1216"/>
      <c r="X199" s="1216"/>
      <c r="Y199" s="1216"/>
      <c r="Z199" s="1216"/>
      <c r="AA199" s="1688"/>
      <c r="AB199" s="622"/>
      <c r="AC199" s="622"/>
      <c r="AD199" s="622"/>
      <c r="AE199" s="622"/>
      <c r="AF199" s="1697">
        <v>11</v>
      </c>
    </row>
    <row s="3442" customFormat="1" customHeight="1" ht="11.549999999999999">
      <c r="A200" s="1043"/>
      <c r="B200" s="1692"/>
      <c r="C200" s="1692"/>
      <c r="D200" s="407"/>
      <c r="K200" s="1216"/>
      <c r="L200" s="1692"/>
      <c r="M200" s="1692"/>
      <c r="N200" s="1216"/>
      <c r="O200" s="1216"/>
      <c r="P200" s="1216"/>
      <c r="Q200" s="1216"/>
      <c r="R200" s="1692"/>
      <c r="S200" s="1216"/>
      <c r="T200" s="1216"/>
      <c r="U200" s="600"/>
      <c r="V200" s="1216"/>
      <c r="W200" s="1216"/>
      <c r="X200" s="1216"/>
      <c r="Y200" s="1216"/>
      <c r="Z200" s="1216"/>
      <c r="AA200" s="1688"/>
      <c r="AB200" s="622"/>
      <c r="AC200" s="622"/>
      <c r="AD200" s="622"/>
      <c r="AE200" s="622"/>
      <c r="AF200" s="1697">
        <v>11</v>
      </c>
    </row>
    <row s="3442" customFormat="1" customHeight="1" ht="11.549999999999999">
      <c r="A201" s="1043"/>
      <c r="B201" s="1692"/>
      <c r="C201" s="1692"/>
      <c r="D201" s="407"/>
      <c r="K201" s="1216"/>
      <c r="L201" s="1692"/>
      <c r="M201" s="1692"/>
      <c r="N201" s="1216"/>
      <c r="O201" s="1216"/>
      <c r="P201" s="1216"/>
      <c r="Q201" s="1216"/>
      <c r="R201" s="1692"/>
      <c r="S201" s="1216"/>
      <c r="T201" s="1216"/>
      <c r="U201" s="600"/>
      <c r="V201" s="1216"/>
      <c r="W201" s="1216"/>
      <c r="X201" s="1216"/>
      <c r="Y201" s="1216"/>
      <c r="Z201" s="1216"/>
      <c r="AA201" s="1688"/>
      <c r="AB201" s="622"/>
      <c r="AC201" s="622"/>
      <c r="AD201" s="622"/>
      <c r="AE201" s="622"/>
      <c r="AF201" s="1697">
        <v>11</v>
      </c>
    </row>
    <row s="3442" customFormat="1" customHeight="1" ht="11.549999999999999">
      <c r="A202" s="1043"/>
      <c r="B202" s="1692"/>
      <c r="C202" s="1692"/>
      <c r="D202" s="407"/>
      <c r="K202" s="1216"/>
      <c r="L202" s="1692"/>
      <c r="M202" s="1692"/>
      <c r="N202" s="1216"/>
      <c r="O202" s="1216"/>
      <c r="P202" s="1216"/>
      <c r="Q202" s="1216"/>
      <c r="R202" s="1692"/>
      <c r="S202" s="1216"/>
      <c r="T202" s="1216"/>
      <c r="U202" s="600"/>
      <c r="V202" s="1216"/>
      <c r="W202" s="1216"/>
      <c r="X202" s="1216"/>
      <c r="Y202" s="1216"/>
      <c r="Z202" s="1216"/>
      <c r="AA202" s="1688"/>
      <c r="AB202" s="622"/>
      <c r="AC202" s="622"/>
      <c r="AD202" s="622"/>
      <c r="AE202" s="622"/>
      <c r="AF202" s="1697">
        <v>11</v>
      </c>
    </row>
    <row s="3442" customFormat="1" customHeight="1" ht="11.549999999999999">
      <c r="A203" s="1043"/>
      <c r="B203" s="1692"/>
      <c r="C203" s="1692"/>
      <c r="D203" s="407"/>
      <c r="K203" s="1216"/>
      <c r="L203" s="1692"/>
      <c r="M203" s="1692"/>
      <c r="N203" s="1216"/>
      <c r="O203" s="1216"/>
      <c r="P203" s="1216"/>
      <c r="Q203" s="1216"/>
      <c r="R203" s="1692"/>
      <c r="S203" s="1216"/>
      <c r="T203" s="1216"/>
      <c r="U203" s="600"/>
      <c r="V203" s="1216"/>
      <c r="W203" s="1216"/>
      <c r="X203" s="1216"/>
      <c r="Y203" s="1216"/>
      <c r="Z203" s="1216"/>
      <c r="AA203" s="1688"/>
      <c r="AB203" s="622"/>
      <c r="AC203" s="622"/>
      <c r="AD203" s="622"/>
      <c r="AE203" s="622"/>
      <c r="AF203" s="1697">
        <v>11</v>
      </c>
    </row>
    <row s="3442" customFormat="1" customHeight="1" ht="11.549999999999999">
      <c r="A204" s="1043"/>
      <c r="B204" s="1692"/>
      <c r="C204" s="1692"/>
      <c r="D204" s="407"/>
      <c r="K204" s="1216"/>
      <c r="L204" s="1692"/>
      <c r="M204" s="1692"/>
      <c r="N204" s="1216"/>
      <c r="O204" s="1216"/>
      <c r="P204" s="1216"/>
      <c r="Q204" s="1216"/>
      <c r="R204" s="1692"/>
      <c r="S204" s="1216"/>
      <c r="T204" s="1216"/>
      <c r="U204" s="600"/>
      <c r="V204" s="1216"/>
      <c r="W204" s="1216"/>
      <c r="X204" s="1216"/>
      <c r="Y204" s="1216"/>
      <c r="Z204" s="1216"/>
      <c r="AA204" s="1688"/>
      <c r="AB204" s="622"/>
      <c r="AC204" s="622"/>
      <c r="AD204" s="622"/>
      <c r="AE204" s="622"/>
      <c r="AF204" s="1697">
        <v>11</v>
      </c>
    </row>
    <row s="3442" customFormat="1" customHeight="1" ht="11.549999999999999">
      <c r="A205" s="1043"/>
      <c r="B205" s="1692"/>
      <c r="C205" s="1692"/>
      <c r="D205" s="407"/>
      <c r="K205" s="1216"/>
      <c r="L205" s="1692"/>
      <c r="M205" s="1692"/>
      <c r="N205" s="1216"/>
      <c r="O205" s="1216"/>
      <c r="P205" s="1216"/>
      <c r="Q205" s="1216"/>
      <c r="R205" s="1692"/>
      <c r="S205" s="1216"/>
      <c r="T205" s="1216"/>
      <c r="U205" s="600"/>
      <c r="V205" s="1216"/>
      <c r="W205" s="1216"/>
      <c r="X205" s="1216"/>
      <c r="Y205" s="1216"/>
      <c r="Z205" s="1216"/>
      <c r="AA205" s="1688"/>
      <c r="AB205" s="622"/>
      <c r="AC205" s="622"/>
      <c r="AD205" s="622"/>
      <c r="AE205" s="622"/>
      <c r="AF205" s="1697">
        <v>11</v>
      </c>
    </row>
    <row s="3442" customFormat="1" customHeight="1" ht="11.549999999999999">
      <c r="A206" s="1043"/>
      <c r="B206" s="1692"/>
      <c r="C206" s="1692"/>
      <c r="D206" s="407"/>
      <c r="K206" s="1216"/>
      <c r="L206" s="1692"/>
      <c r="M206" s="1692"/>
      <c r="N206" s="1216"/>
      <c r="O206" s="1216"/>
      <c r="P206" s="1216"/>
      <c r="Q206" s="1216"/>
      <c r="R206" s="1692"/>
      <c r="S206" s="1216"/>
      <c r="T206" s="1216"/>
      <c r="U206" s="600"/>
      <c r="V206" s="1216"/>
      <c r="W206" s="1216"/>
      <c r="X206" s="1216"/>
      <c r="Y206" s="1216"/>
      <c r="Z206" s="1216"/>
      <c r="AA206" s="1688"/>
      <c r="AB206" s="622"/>
      <c r="AC206" s="622"/>
      <c r="AD206" s="622"/>
      <c r="AE206" s="622"/>
      <c r="AF206" s="1697">
        <v>11</v>
      </c>
    </row>
    <row s="3442" customFormat="1" customHeight="1" ht="11.549999999999999">
      <c r="A207" s="1043"/>
      <c r="B207" s="1692"/>
      <c r="C207" s="1692"/>
      <c r="D207" s="407"/>
      <c r="K207" s="1216"/>
      <c r="L207" s="1692"/>
      <c r="M207" s="1692"/>
      <c r="N207" s="1216"/>
      <c r="O207" s="1216"/>
      <c r="P207" s="1216"/>
      <c r="Q207" s="1216"/>
      <c r="R207" s="1692"/>
      <c r="S207" s="1216"/>
      <c r="T207" s="1216"/>
      <c r="U207" s="600"/>
      <c r="V207" s="1216"/>
      <c r="W207" s="1216"/>
      <c r="X207" s="1216"/>
      <c r="Y207" s="1216"/>
      <c r="Z207" s="1216"/>
      <c r="AA207" s="1688"/>
      <c r="AB207" s="622"/>
      <c r="AC207" s="622"/>
      <c r="AD207" s="622"/>
      <c r="AE207" s="622"/>
      <c r="AF207" s="1697">
        <v>11</v>
      </c>
    </row>
    <row s="3442" customFormat="1" customHeight="1" ht="11.549999999999999">
      <c r="A208" s="1043"/>
      <c r="B208" s="1692"/>
      <c r="C208" s="1692"/>
      <c r="D208" s="407"/>
      <c r="K208" s="1216"/>
      <c r="L208" s="1692"/>
      <c r="M208" s="1692"/>
      <c r="N208" s="1216"/>
      <c r="O208" s="1216"/>
      <c r="P208" s="1216"/>
      <c r="Q208" s="1216"/>
      <c r="R208" s="1692"/>
      <c r="S208" s="1216"/>
      <c r="T208" s="1216"/>
      <c r="U208" s="600"/>
      <c r="V208" s="1216"/>
      <c r="W208" s="1216"/>
      <c r="X208" s="1216"/>
      <c r="Y208" s="1216"/>
      <c r="Z208" s="1216"/>
      <c r="AA208" s="1688"/>
      <c r="AB208" s="622"/>
      <c r="AC208" s="622"/>
      <c r="AD208" s="622"/>
      <c r="AE208" s="622"/>
      <c r="AF208" s="1697">
        <v>11</v>
      </c>
    </row>
    <row s="3442" customFormat="1" customHeight="1" ht="11.549999999999999">
      <c r="A209" s="1043"/>
      <c r="B209" s="1692"/>
      <c r="C209" s="1692"/>
      <c r="D209" s="407"/>
      <c r="K209" s="1216"/>
      <c r="L209" s="1692"/>
      <c r="M209" s="1692"/>
      <c r="N209" s="1216"/>
      <c r="O209" s="1216"/>
      <c r="P209" s="1216"/>
      <c r="Q209" s="1216"/>
      <c r="R209" s="1692"/>
      <c r="S209" s="1216"/>
      <c r="T209" s="1216"/>
      <c r="U209" s="600"/>
      <c r="V209" s="1216"/>
      <c r="W209" s="1216"/>
      <c r="X209" s="1216"/>
      <c r="Y209" s="1216"/>
      <c r="Z209" s="1216"/>
      <c r="AA209" s="1688"/>
      <c r="AB209" s="622"/>
      <c r="AC209" s="622"/>
      <c r="AD209" s="622"/>
      <c r="AE209" s="622"/>
      <c r="AF209" s="1697">
        <v>11</v>
      </c>
    </row>
    <row s="3442" customFormat="1" customHeight="1" ht="11.549999999999999">
      <c r="A210" s="1043"/>
      <c r="B210" s="1692"/>
      <c r="C210" s="1692"/>
      <c r="D210" s="407"/>
      <c r="K210" s="1216"/>
      <c r="L210" s="1692"/>
      <c r="M210" s="1692"/>
      <c r="N210" s="1216"/>
      <c r="O210" s="1216"/>
      <c r="P210" s="1216"/>
      <c r="Q210" s="1216"/>
      <c r="R210" s="1692"/>
      <c r="S210" s="1216"/>
      <c r="T210" s="1216"/>
      <c r="U210" s="600"/>
      <c r="V210" s="1216"/>
      <c r="W210" s="1216"/>
      <c r="X210" s="1216"/>
      <c r="Y210" s="1216"/>
      <c r="Z210" s="1216"/>
      <c r="AA210" s="1688"/>
      <c r="AB210" s="622"/>
      <c r="AC210" s="622"/>
      <c r="AD210" s="622"/>
      <c r="AE210" s="622"/>
      <c r="AF210" s="1697">
        <v>11</v>
      </c>
    </row>
    <row s="3442" customFormat="1" customHeight="1" ht="11.549999999999999">
      <c r="A211" s="1043"/>
      <c r="B211" s="1692"/>
      <c r="C211" s="1692"/>
      <c r="D211" s="407"/>
      <c r="K211" s="1216"/>
      <c r="L211" s="1692"/>
      <c r="M211" s="1692"/>
      <c r="N211" s="1216"/>
      <c r="O211" s="1216"/>
      <c r="P211" s="1216"/>
      <c r="Q211" s="1216"/>
      <c r="R211" s="1692"/>
      <c r="S211" s="1216"/>
      <c r="T211" s="1216"/>
      <c r="U211" s="600"/>
      <c r="V211" s="1216"/>
      <c r="W211" s="1216"/>
      <c r="X211" s="1216"/>
      <c r="Y211" s="1216"/>
      <c r="Z211" s="1216"/>
      <c r="AA211" s="1688"/>
      <c r="AB211" s="622"/>
      <c r="AC211" s="622"/>
      <c r="AD211" s="622"/>
      <c r="AE211" s="622"/>
      <c r="AF211" s="1697">
        <v>11</v>
      </c>
    </row>
    <row s="3442" customFormat="1" customHeight="1" ht="11.549999999999999">
      <c r="A212" s="1043"/>
      <c r="B212" s="1692"/>
      <c r="C212" s="1692"/>
      <c r="D212" s="407"/>
      <c r="K212" s="1216"/>
      <c r="L212" s="1692"/>
      <c r="M212" s="1692"/>
      <c r="N212" s="1216"/>
      <c r="O212" s="1216"/>
      <c r="P212" s="1216"/>
      <c r="Q212" s="1216"/>
      <c r="R212" s="1692"/>
      <c r="S212" s="1216"/>
      <c r="T212" s="1216"/>
      <c r="U212" s="600"/>
      <c r="V212" s="1216"/>
      <c r="W212" s="1216"/>
      <c r="X212" s="1216"/>
      <c r="Y212" s="1216"/>
      <c r="Z212" s="1216"/>
      <c r="AA212" s="1688"/>
      <c r="AB212" s="622"/>
      <c r="AC212" s="622"/>
      <c r="AD212" s="622"/>
      <c r="AE212" s="622"/>
      <c r="AF212" s="1697">
        <v>11</v>
      </c>
    </row>
    <row s="3442" customFormat="1" customHeight="1" ht="11.549999999999999">
      <c r="A213" s="1043"/>
      <c r="B213" s="1692"/>
      <c r="C213" s="1692"/>
      <c r="D213" s="407"/>
      <c r="K213" s="1216"/>
      <c r="L213" s="1692"/>
      <c r="M213" s="1692"/>
      <c r="N213" s="1216"/>
      <c r="O213" s="1216"/>
      <c r="P213" s="1216"/>
      <c r="Q213" s="1216"/>
      <c r="R213" s="1692"/>
      <c r="S213" s="1216"/>
      <c r="T213" s="1216"/>
      <c r="U213" s="600"/>
      <c r="V213" s="1216"/>
      <c r="W213" s="1216"/>
      <c r="X213" s="1216"/>
      <c r="Y213" s="1216"/>
      <c r="Z213" s="1216"/>
      <c r="AA213" s="1688"/>
      <c r="AB213" s="622"/>
      <c r="AC213" s="622"/>
      <c r="AD213" s="622"/>
      <c r="AE213" s="622"/>
      <c r="AF213" s="1697">
        <v>11</v>
      </c>
    </row>
    <row s="3442" customFormat="1" customHeight="1" ht="11.549999999999999">
      <c r="A214" s="1043"/>
      <c r="B214" s="1692"/>
      <c r="C214" s="1692"/>
      <c r="D214" s="407"/>
      <c r="K214" s="1216"/>
      <c r="L214" s="1692"/>
      <c r="M214" s="1692"/>
      <c r="N214" s="1216"/>
      <c r="O214" s="1216"/>
      <c r="P214" s="1216"/>
      <c r="Q214" s="1216"/>
      <c r="R214" s="1692"/>
      <c r="S214" s="1216"/>
      <c r="T214" s="1216"/>
      <c r="U214" s="600"/>
      <c r="V214" s="1216"/>
      <c r="W214" s="1216"/>
      <c r="X214" s="1216"/>
      <c r="Y214" s="1216"/>
      <c r="Z214" s="1216"/>
      <c r="AA214" s="1688"/>
      <c r="AB214" s="622"/>
      <c r="AC214" s="622"/>
      <c r="AD214" s="622"/>
      <c r="AE214" s="622"/>
      <c r="AF214" s="1697">
        <v>11</v>
      </c>
    </row>
    <row s="3442" customFormat="1" customHeight="1" ht="11.549999999999999">
      <c r="A215" s="1043"/>
      <c r="B215" s="1692"/>
      <c r="C215" s="1692"/>
      <c r="D215" s="407"/>
      <c r="K215" s="1216"/>
      <c r="L215" s="1692"/>
      <c r="M215" s="1692"/>
      <c r="N215" s="1216"/>
      <c r="O215" s="1216"/>
      <c r="P215" s="1216"/>
      <c r="Q215" s="1216"/>
      <c r="R215" s="1692"/>
      <c r="S215" s="1216"/>
      <c r="T215" s="1216"/>
      <c r="U215" s="600"/>
      <c r="V215" s="1216"/>
      <c r="W215" s="1216"/>
      <c r="X215" s="1216"/>
      <c r="Y215" s="1216"/>
      <c r="Z215" s="1216"/>
      <c r="AA215" s="1688"/>
      <c r="AB215" s="622"/>
      <c r="AC215" s="622"/>
      <c r="AD215" s="622"/>
      <c r="AE215" s="622"/>
      <c r="AF215" s="1697">
        <v>11</v>
      </c>
    </row>
    <row s="3442" customFormat="1" customHeight="1" ht="11.549999999999999">
      <c r="A216" s="1043"/>
      <c r="B216" s="1692"/>
      <c r="C216" s="1692"/>
      <c r="D216" s="407"/>
      <c r="K216" s="1216"/>
      <c r="L216" s="1692"/>
      <c r="M216" s="1692"/>
      <c r="N216" s="1216"/>
      <c r="O216" s="1216"/>
      <c r="P216" s="1216"/>
      <c r="Q216" s="1216"/>
      <c r="R216" s="1692"/>
      <c r="S216" s="1216"/>
      <c r="T216" s="1216"/>
      <c r="U216" s="600"/>
      <c r="V216" s="1216"/>
      <c r="W216" s="1216"/>
      <c r="X216" s="1216"/>
      <c r="Y216" s="1216"/>
      <c r="Z216" s="1216"/>
      <c r="AA216" s="1688"/>
      <c r="AB216" s="622"/>
      <c r="AC216" s="622"/>
      <c r="AD216" s="622"/>
      <c r="AE216" s="622"/>
      <c r="AF216" s="1697">
        <v>11</v>
      </c>
    </row>
    <row s="3442" customFormat="1" customHeight="1" ht="11.549999999999999">
      <c r="A217" s="1043"/>
      <c r="B217" s="1692"/>
      <c r="C217" s="1692"/>
      <c r="D217" s="407"/>
      <c r="K217" s="1216"/>
      <c r="L217" s="1692"/>
      <c r="M217" s="1692"/>
      <c r="N217" s="1216"/>
      <c r="O217" s="1216"/>
      <c r="P217" s="1216"/>
      <c r="Q217" s="1216"/>
      <c r="R217" s="1692"/>
      <c r="S217" s="1216"/>
      <c r="T217" s="1216"/>
      <c r="U217" s="600"/>
      <c r="V217" s="1216"/>
      <c r="W217" s="1216"/>
      <c r="X217" s="1216"/>
      <c r="Y217" s="1216"/>
      <c r="Z217" s="1216"/>
      <c r="AA217" s="1688"/>
      <c r="AB217" s="622"/>
      <c r="AC217" s="622"/>
      <c r="AD217" s="622"/>
      <c r="AE217" s="622"/>
      <c r="AF217" s="1697">
        <v>11</v>
      </c>
    </row>
    <row s="3442" customFormat="1" customHeight="1" ht="11.549999999999999">
      <c r="A218" s="1043"/>
      <c r="B218" s="1692"/>
      <c r="C218" s="1692"/>
      <c r="D218" s="407"/>
      <c r="K218" s="1216"/>
      <c r="L218" s="1692"/>
      <c r="M218" s="1692"/>
      <c r="N218" s="1216"/>
      <c r="O218" s="1216"/>
      <c r="P218" s="1216"/>
      <c r="Q218" s="1216"/>
      <c r="R218" s="1692"/>
      <c r="S218" s="1216"/>
      <c r="T218" s="1216"/>
      <c r="U218" s="600"/>
      <c r="V218" s="1216"/>
      <c r="W218" s="1216"/>
      <c r="X218" s="1216"/>
      <c r="Y218" s="1216"/>
      <c r="Z218" s="1216"/>
      <c r="AA218" s="1688"/>
      <c r="AB218" s="622"/>
      <c r="AC218" s="622"/>
      <c r="AD218" s="622"/>
      <c r="AE218" s="622"/>
      <c r="AF218" s="1697">
        <v>11</v>
      </c>
    </row>
    <row s="3442" customFormat="1" customHeight="1" ht="11.549999999999999">
      <c r="A219" s="1043"/>
      <c r="B219" s="1692"/>
      <c r="C219" s="1692"/>
      <c r="D219" s="407"/>
      <c r="K219" s="1216"/>
      <c r="L219" s="1692"/>
      <c r="M219" s="1692"/>
      <c r="N219" s="1216"/>
      <c r="O219" s="1216"/>
      <c r="P219" s="1216"/>
      <c r="Q219" s="1216"/>
      <c r="R219" s="1692"/>
      <c r="S219" s="1216"/>
      <c r="T219" s="1216"/>
      <c r="U219" s="600"/>
      <c r="V219" s="1216"/>
      <c r="W219" s="1216"/>
      <c r="X219" s="1216"/>
      <c r="Y219" s="1216"/>
      <c r="Z219" s="1216"/>
      <c r="AA219" s="1688"/>
      <c r="AB219" s="622"/>
      <c r="AC219" s="622"/>
      <c r="AD219" s="622"/>
      <c r="AE219" s="622"/>
      <c r="AF219" s="1697">
        <v>11</v>
      </c>
    </row>
    <row s="3442" customFormat="1" customHeight="1" ht="11.549999999999999">
      <c r="A220" s="1043"/>
      <c r="B220" s="1692"/>
      <c r="C220" s="1692"/>
      <c r="D220" s="407"/>
      <c r="K220" s="1216"/>
      <c r="L220" s="1692"/>
      <c r="M220" s="1692"/>
      <c r="N220" s="1216"/>
      <c r="O220" s="1216"/>
      <c r="P220" s="1216"/>
      <c r="Q220" s="1216"/>
      <c r="R220" s="1692"/>
      <c r="S220" s="1216"/>
      <c r="T220" s="1216"/>
      <c r="U220" s="600"/>
      <c r="V220" s="1216"/>
      <c r="W220" s="1216"/>
      <c r="X220" s="1216"/>
      <c r="Y220" s="1216"/>
      <c r="Z220" s="1216"/>
      <c r="AA220" s="1688"/>
      <c r="AB220" s="622"/>
      <c r="AC220" s="622"/>
      <c r="AD220" s="622"/>
      <c r="AE220" s="622"/>
      <c r="AF220" s="1697">
        <v>11</v>
      </c>
    </row>
    <row s="3442" customFormat="1" customHeight="1" ht="11.549999999999999">
      <c r="A221" s="1043"/>
      <c r="B221" s="1692"/>
      <c r="C221" s="1692"/>
      <c r="D221" s="407"/>
      <c r="K221" s="1216"/>
      <c r="L221" s="1692"/>
      <c r="M221" s="1692"/>
      <c r="N221" s="1216"/>
      <c r="O221" s="1216"/>
      <c r="P221" s="1216"/>
      <c r="Q221" s="1216"/>
      <c r="R221" s="1692"/>
      <c r="S221" s="1216"/>
      <c r="T221" s="1216"/>
      <c r="U221" s="600"/>
      <c r="V221" s="1216"/>
      <c r="W221" s="1216"/>
      <c r="X221" s="1216"/>
      <c r="Y221" s="1216"/>
      <c r="Z221" s="1216"/>
      <c r="AA221" s="1688"/>
      <c r="AB221" s="622"/>
      <c r="AC221" s="622"/>
      <c r="AD221" s="622"/>
      <c r="AE221" s="622"/>
      <c r="AF221" s="1697">
        <v>11</v>
      </c>
    </row>
    <row s="3442" customFormat="1" customHeight="1" ht="11.549999999999999">
      <c r="A222" s="1043"/>
      <c r="B222" s="1692"/>
      <c r="C222" s="1692"/>
      <c r="D222" s="407"/>
      <c r="K222" s="1216"/>
      <c r="L222" s="1692"/>
      <c r="M222" s="1692"/>
      <c r="N222" s="1216"/>
      <c r="O222" s="1216"/>
      <c r="P222" s="1216"/>
      <c r="Q222" s="1216"/>
      <c r="R222" s="1692"/>
      <c r="S222" s="1216"/>
      <c r="T222" s="1216"/>
      <c r="U222" s="600"/>
      <c r="V222" s="1216"/>
      <c r="W222" s="1216"/>
      <c r="X222" s="1216"/>
      <c r="Y222" s="1216"/>
      <c r="Z222" s="1216"/>
      <c r="AA222" s="1688"/>
      <c r="AB222" s="622"/>
      <c r="AC222" s="622"/>
      <c r="AD222" s="622"/>
      <c r="AE222" s="622"/>
      <c r="AF222" s="1697">
        <v>11</v>
      </c>
    </row>
    <row s="3442" customFormat="1" customHeight="1" ht="11.549999999999999">
      <c r="A223" s="1043"/>
      <c r="B223" s="1692"/>
      <c r="C223" s="1692"/>
      <c r="D223" s="407"/>
      <c r="K223" s="1216"/>
      <c r="L223" s="1692"/>
      <c r="M223" s="1692"/>
      <c r="N223" s="1216"/>
      <c r="O223" s="1216"/>
      <c r="P223" s="1216"/>
      <c r="Q223" s="1216"/>
      <c r="R223" s="1692"/>
      <c r="S223" s="1216"/>
      <c r="T223" s="1216"/>
      <c r="U223" s="600"/>
      <c r="V223" s="1216"/>
      <c r="W223" s="1216"/>
      <c r="X223" s="1216"/>
      <c r="Y223" s="1216"/>
      <c r="Z223" s="1216"/>
      <c r="AA223" s="1688"/>
      <c r="AB223" s="622"/>
      <c r="AC223" s="622"/>
      <c r="AD223" s="622"/>
      <c r="AE223" s="622"/>
      <c r="AF223" s="1697">
        <v>11</v>
      </c>
    </row>
    <row s="3442" customFormat="1" customHeight="1" ht="11.549999999999999">
      <c r="A224" s="1043"/>
      <c r="B224" s="1692"/>
      <c r="C224" s="1692"/>
      <c r="D224" s="407"/>
      <c r="K224" s="1216"/>
      <c r="L224" s="1692"/>
      <c r="M224" s="1692"/>
      <c r="N224" s="1216"/>
      <c r="O224" s="1216"/>
      <c r="P224" s="1216"/>
      <c r="Q224" s="1216"/>
      <c r="R224" s="1692"/>
      <c r="S224" s="1216"/>
      <c r="T224" s="1216"/>
      <c r="U224" s="600"/>
      <c r="V224" s="1216"/>
      <c r="W224" s="1216"/>
      <c r="X224" s="1216"/>
      <c r="Y224" s="1216"/>
      <c r="Z224" s="1216"/>
      <c r="AA224" s="1688"/>
      <c r="AB224" s="622"/>
      <c r="AC224" s="622"/>
      <c r="AD224" s="622"/>
      <c r="AE224" s="622"/>
      <c r="AF224" s="1697">
        <v>11</v>
      </c>
    </row>
    <row s="3442" customFormat="1" customHeight="1" ht="11.549999999999999">
      <c r="A225" s="1043"/>
      <c r="B225" s="1692"/>
      <c r="C225" s="1692"/>
      <c r="D225" s="407"/>
      <c r="K225" s="1216"/>
      <c r="L225" s="1692"/>
      <c r="M225" s="1692"/>
      <c r="N225" s="1216"/>
      <c r="O225" s="1216"/>
      <c r="P225" s="1216"/>
      <c r="Q225" s="1216"/>
      <c r="R225" s="1692"/>
      <c r="S225" s="1216"/>
      <c r="T225" s="1216"/>
      <c r="U225" s="600"/>
      <c r="V225" s="1216"/>
      <c r="W225" s="1216"/>
      <c r="X225" s="1216"/>
      <c r="Y225" s="1216"/>
      <c r="Z225" s="1216"/>
      <c r="AA225" s="1688"/>
      <c r="AB225" s="622"/>
      <c r="AC225" s="622"/>
      <c r="AD225" s="622"/>
      <c r="AE225" s="622"/>
      <c r="AF225" s="1697">
        <v>11</v>
      </c>
    </row>
    <row s="3442" customFormat="1" customHeight="1" ht="11.549999999999999">
      <c r="A226" s="1043"/>
      <c r="B226" s="1692"/>
      <c r="C226" s="1692"/>
      <c r="D226" s="407"/>
      <c r="K226" s="1216"/>
      <c r="L226" s="1692"/>
      <c r="M226" s="1692"/>
      <c r="N226" s="1216"/>
      <c r="O226" s="1216"/>
      <c r="P226" s="1216"/>
      <c r="Q226" s="1216"/>
      <c r="R226" s="1692"/>
      <c r="S226" s="1216"/>
      <c r="T226" s="1216"/>
      <c r="U226" s="600"/>
      <c r="V226" s="1216"/>
      <c r="W226" s="1216"/>
      <c r="X226" s="1216"/>
      <c r="Y226" s="1216"/>
      <c r="Z226" s="1216"/>
      <c r="AA226" s="1688"/>
      <c r="AB226" s="622"/>
      <c r="AC226" s="622"/>
      <c r="AD226" s="622"/>
      <c r="AE226" s="622"/>
      <c r="AF226" s="1697">
        <v>11</v>
      </c>
    </row>
    <row s="3442" customFormat="1" customHeight="1" ht="11.549999999999999">
      <c r="A227" s="1043"/>
      <c r="B227" s="1692"/>
      <c r="C227" s="1692"/>
      <c r="D227" s="407"/>
      <c r="K227" s="1216"/>
      <c r="L227" s="1692"/>
      <c r="M227" s="1692"/>
      <c r="N227" s="1216"/>
      <c r="O227" s="1216"/>
      <c r="P227" s="1216"/>
      <c r="Q227" s="1216"/>
      <c r="R227" s="1692"/>
      <c r="S227" s="1216"/>
      <c r="T227" s="1216"/>
      <c r="U227" s="600"/>
      <c r="V227" s="1216"/>
      <c r="W227" s="1216"/>
      <c r="X227" s="1216"/>
      <c r="Y227" s="1216"/>
      <c r="Z227" s="1216"/>
      <c r="AA227" s="1688"/>
      <c r="AB227" s="622"/>
      <c r="AC227" s="622"/>
      <c r="AD227" s="622"/>
      <c r="AE227" s="622"/>
      <c r="AF227" s="1697">
        <v>11</v>
      </c>
    </row>
    <row s="3442" customFormat="1" customHeight="1" ht="11.549999999999999">
      <c r="A228" s="1043"/>
      <c r="B228" s="1692"/>
      <c r="C228" s="1692"/>
      <c r="D228" s="407"/>
      <c r="K228" s="1216"/>
      <c r="L228" s="1692"/>
      <c r="M228" s="1692"/>
      <c r="N228" s="1216"/>
      <c r="O228" s="1216"/>
      <c r="P228" s="1216"/>
      <c r="Q228" s="1216"/>
      <c r="R228" s="1692"/>
      <c r="S228" s="1216"/>
      <c r="T228" s="1216"/>
      <c r="U228" s="600"/>
      <c r="V228" s="1216"/>
      <c r="W228" s="1216"/>
      <c r="X228" s="1216"/>
      <c r="Y228" s="1216"/>
      <c r="Z228" s="1216"/>
      <c r="AA228" s="1688"/>
      <c r="AB228" s="622"/>
      <c r="AC228" s="622"/>
      <c r="AD228" s="622"/>
      <c r="AE228" s="622"/>
      <c r="AF228" s="1697">
        <v>11</v>
      </c>
    </row>
    <row s="3442" customFormat="1" customHeight="1" ht="11.549999999999999">
      <c r="A229" s="1043"/>
      <c r="B229" s="1692"/>
      <c r="C229" s="1692"/>
      <c r="D229" s="407"/>
      <c r="K229" s="1216"/>
      <c r="L229" s="1692"/>
      <c r="M229" s="1692"/>
      <c r="N229" s="1216"/>
      <c r="O229" s="1216"/>
      <c r="P229" s="1216"/>
      <c r="Q229" s="1216"/>
      <c r="R229" s="1692"/>
      <c r="S229" s="1216"/>
      <c r="T229" s="1216"/>
      <c r="U229" s="600"/>
      <c r="V229" s="1216"/>
      <c r="W229" s="1216"/>
      <c r="X229" s="1216"/>
      <c r="Y229" s="1216"/>
      <c r="Z229" s="1216"/>
      <c r="AA229" s="1688"/>
      <c r="AB229" s="622"/>
      <c r="AC229" s="622"/>
      <c r="AD229" s="622"/>
      <c r="AE229" s="622"/>
      <c r="AF229" s="1697">
        <v>11</v>
      </c>
    </row>
    <row s="3442" customFormat="1" customHeight="1" ht="11.549999999999999">
      <c r="A230" s="1043"/>
      <c r="B230" s="1692"/>
      <c r="C230" s="1692"/>
      <c r="D230" s="407"/>
      <c r="K230" s="1216"/>
      <c r="L230" s="1692"/>
      <c r="M230" s="1692"/>
      <c r="N230" s="1216"/>
      <c r="O230" s="1216"/>
      <c r="P230" s="1216"/>
      <c r="Q230" s="1216"/>
      <c r="R230" s="1692"/>
      <c r="S230" s="1216"/>
      <c r="T230" s="1216"/>
      <c r="U230" s="600"/>
      <c r="V230" s="1216"/>
      <c r="W230" s="1216"/>
      <c r="X230" s="1216"/>
      <c r="Y230" s="1216"/>
      <c r="Z230" s="1216"/>
      <c r="AA230" s="1688"/>
      <c r="AB230" s="622"/>
      <c r="AC230" s="622"/>
      <c r="AD230" s="622"/>
      <c r="AE230" s="622"/>
      <c r="AF230" s="1697">
        <v>11</v>
      </c>
    </row>
    <row s="3442" customFormat="1" customHeight="1" ht="11.549999999999999">
      <c r="A231" s="1043"/>
      <c r="B231" s="1692"/>
      <c r="C231" s="1692"/>
      <c r="D231" s="407"/>
      <c r="K231" s="1216"/>
      <c r="L231" s="1692"/>
      <c r="M231" s="1692"/>
      <c r="N231" s="1216"/>
      <c r="O231" s="1216"/>
      <c r="P231" s="1216"/>
      <c r="Q231" s="1216"/>
      <c r="R231" s="1692"/>
      <c r="S231" s="1216"/>
      <c r="T231" s="1216"/>
      <c r="U231" s="600"/>
      <c r="V231" s="1216"/>
      <c r="W231" s="1216"/>
      <c r="X231" s="1216"/>
      <c r="Y231" s="1216"/>
      <c r="Z231" s="1216"/>
      <c r="AA231" s="1688"/>
      <c r="AB231" s="622"/>
      <c r="AC231" s="622"/>
      <c r="AD231" s="622"/>
      <c r="AE231" s="622"/>
      <c r="AF231" s="1697">
        <v>11</v>
      </c>
    </row>
    <row s="3442" customFormat="1" customHeight="1" ht="11.549999999999999">
      <c r="A232" s="1043"/>
      <c r="B232" s="1692"/>
      <c r="C232" s="1692"/>
      <c r="D232" s="407"/>
      <c r="K232" s="1216"/>
      <c r="L232" s="1692"/>
      <c r="M232" s="1692"/>
      <c r="N232" s="1216"/>
      <c r="O232" s="1216"/>
      <c r="P232" s="1216"/>
      <c r="Q232" s="1216"/>
      <c r="R232" s="1692"/>
      <c r="S232" s="1216"/>
      <c r="T232" s="1216"/>
      <c r="U232" s="600"/>
      <c r="V232" s="1216"/>
      <c r="W232" s="1216"/>
      <c r="X232" s="1216"/>
      <c r="Y232" s="1216"/>
      <c r="Z232" s="1216"/>
      <c r="AA232" s="1688"/>
      <c r="AB232" s="622"/>
      <c r="AC232" s="622"/>
      <c r="AD232" s="622"/>
      <c r="AE232" s="622"/>
      <c r="AF232" s="1697">
        <v>11</v>
      </c>
    </row>
    <row s="3442" customFormat="1" customHeight="1" ht="11.549999999999999">
      <c r="A233" s="1043"/>
      <c r="B233" s="1692"/>
      <c r="C233" s="1692"/>
      <c r="D233" s="407"/>
      <c r="K233" s="1216"/>
      <c r="L233" s="1692"/>
      <c r="M233" s="1692"/>
      <c r="N233" s="1216"/>
      <c r="O233" s="1216"/>
      <c r="P233" s="1216"/>
      <c r="Q233" s="1216"/>
      <c r="R233" s="1692"/>
      <c r="S233" s="1216"/>
      <c r="T233" s="1216"/>
      <c r="U233" s="600"/>
      <c r="V233" s="1216"/>
      <c r="W233" s="1216"/>
      <c r="X233" s="1216"/>
      <c r="Y233" s="1216"/>
      <c r="Z233" s="1216"/>
      <c r="AA233" s="1688"/>
      <c r="AB233" s="622"/>
      <c r="AC233" s="622"/>
      <c r="AD233" s="622"/>
      <c r="AE233" s="622"/>
      <c r="AF233" s="1697">
        <v>11</v>
      </c>
    </row>
    <row s="3442" customFormat="1" customHeight="1" ht="11.549999999999999">
      <c r="A234" s="1043"/>
      <c r="B234" s="1692"/>
      <c r="C234" s="1692"/>
      <c r="D234" s="407"/>
      <c r="K234" s="1216"/>
      <c r="L234" s="1692"/>
      <c r="M234" s="1692"/>
      <c r="N234" s="1216"/>
      <c r="O234" s="1216"/>
      <c r="P234" s="1216"/>
      <c r="Q234" s="1216"/>
      <c r="R234" s="1692"/>
      <c r="S234" s="1216"/>
      <c r="T234" s="1216"/>
      <c r="U234" s="600"/>
      <c r="V234" s="1216"/>
      <c r="W234" s="1216"/>
      <c r="X234" s="1216"/>
      <c r="Y234" s="1216"/>
      <c r="Z234" s="1216"/>
      <c r="AA234" s="1688"/>
      <c r="AB234" s="622"/>
      <c r="AC234" s="622"/>
      <c r="AD234" s="622"/>
      <c r="AE234" s="622"/>
      <c r="AF234" s="1697">
        <v>11</v>
      </c>
    </row>
    <row s="3442" customFormat="1" customHeight="1" ht="11.549999999999999">
      <c r="A235" s="1043"/>
      <c r="B235" s="1692"/>
      <c r="C235" s="1692"/>
      <c r="D235" s="407"/>
      <c r="K235" s="1216"/>
      <c r="L235" s="1692"/>
      <c r="M235" s="1692"/>
      <c r="N235" s="1216"/>
      <c r="O235" s="1216"/>
      <c r="P235" s="1216"/>
      <c r="Q235" s="1216"/>
      <c r="R235" s="1692"/>
      <c r="S235" s="1216"/>
      <c r="T235" s="1216"/>
      <c r="U235" s="600"/>
      <c r="V235" s="1216"/>
      <c r="W235" s="1216"/>
      <c r="X235" s="1216"/>
      <c r="Y235" s="1216"/>
      <c r="Z235" s="1216"/>
      <c r="AA235" s="1688"/>
      <c r="AB235" s="622"/>
      <c r="AC235" s="622"/>
      <c r="AD235" s="622"/>
      <c r="AE235" s="622"/>
      <c r="AF235" s="1697">
        <v>11</v>
      </c>
    </row>
    <row s="3442" customFormat="1" customHeight="1" ht="11.549999999999999">
      <c r="A236" s="1043"/>
      <c r="B236" s="1692"/>
      <c r="C236" s="1692"/>
      <c r="D236" s="407"/>
      <c r="K236" s="1216"/>
      <c r="L236" s="1692"/>
      <c r="M236" s="1692"/>
      <c r="N236" s="1216"/>
      <c r="O236" s="1216"/>
      <c r="P236" s="1216"/>
      <c r="Q236" s="1216"/>
      <c r="R236" s="1692"/>
      <c r="S236" s="1216"/>
      <c r="T236" s="1216"/>
      <c r="U236" s="600"/>
      <c r="V236" s="1216"/>
      <c r="W236" s="1216"/>
      <c r="X236" s="1216"/>
      <c r="Y236" s="1216"/>
      <c r="Z236" s="1216"/>
      <c r="AA236" s="1688"/>
      <c r="AB236" s="622"/>
      <c r="AC236" s="622"/>
      <c r="AD236" s="622"/>
      <c r="AE236" s="622"/>
      <c r="AF236" s="1697">
        <v>11</v>
      </c>
    </row>
    <row s="3442" customFormat="1" customHeight="1" ht="11.549999999999999">
      <c r="A237" s="1043"/>
      <c r="B237" s="1692"/>
      <c r="C237" s="1692"/>
      <c r="D237" s="407"/>
      <c r="K237" s="1216"/>
      <c r="L237" s="1692"/>
      <c r="M237" s="1692"/>
      <c r="N237" s="1216"/>
      <c r="O237" s="1216"/>
      <c r="P237" s="1216"/>
      <c r="Q237" s="1216"/>
      <c r="R237" s="1692"/>
      <c r="S237" s="1216"/>
      <c r="T237" s="1216"/>
      <c r="U237" s="600"/>
      <c r="V237" s="1216"/>
      <c r="W237" s="1216"/>
      <c r="X237" s="1216"/>
      <c r="Y237" s="1216"/>
      <c r="Z237" s="1216"/>
      <c r="AA237" s="1688"/>
      <c r="AB237" s="622"/>
      <c r="AC237" s="622"/>
      <c r="AD237" s="622"/>
      <c r="AE237" s="622"/>
      <c r="AF237" s="1697">
        <v>11</v>
      </c>
    </row>
    <row s="3442" customFormat="1" customHeight="1" ht="11.549999999999999">
      <c r="A238" s="1043"/>
      <c r="B238" s="1692"/>
      <c r="C238" s="1692"/>
      <c r="D238" s="407"/>
      <c r="K238" s="1216"/>
      <c r="L238" s="1692"/>
      <c r="M238" s="1692"/>
      <c r="N238" s="1216"/>
      <c r="O238" s="1216"/>
      <c r="P238" s="1216"/>
      <c r="Q238" s="1216"/>
      <c r="R238" s="1692"/>
      <c r="S238" s="1216"/>
      <c r="T238" s="1216"/>
      <c r="U238" s="600"/>
      <c r="V238" s="1216"/>
      <c r="W238" s="1216"/>
      <c r="X238" s="1216"/>
      <c r="Y238" s="1216"/>
      <c r="Z238" s="1216"/>
      <c r="AA238" s="1688"/>
      <c r="AB238" s="622"/>
      <c r="AC238" s="622"/>
      <c r="AD238" s="622"/>
      <c r="AE238" s="622"/>
      <c r="AF238" s="1697">
        <v>11</v>
      </c>
    </row>
    <row s="3442" customFormat="1" customHeight="1" ht="11.549999999999999">
      <c r="A239" s="1043"/>
      <c r="B239" s="1692"/>
      <c r="C239" s="1692"/>
      <c r="D239" s="407"/>
      <c r="K239" s="1216"/>
      <c r="L239" s="1692"/>
      <c r="M239" s="1692"/>
      <c r="N239" s="1216"/>
      <c r="O239" s="1216"/>
      <c r="P239" s="1216"/>
      <c r="Q239" s="1216"/>
      <c r="R239" s="1692"/>
      <c r="S239" s="1216"/>
      <c r="T239" s="1216"/>
      <c r="U239" s="600"/>
      <c r="V239" s="1216"/>
      <c r="W239" s="1216"/>
      <c r="X239" s="1216"/>
      <c r="Y239" s="1216"/>
      <c r="Z239" s="1216"/>
      <c r="AA239" s="1688"/>
      <c r="AB239" s="622"/>
      <c r="AC239" s="622"/>
      <c r="AD239" s="622"/>
      <c r="AE239" s="622"/>
      <c r="AF239" s="1697">
        <v>11</v>
      </c>
    </row>
    <row s="3442" customFormat="1" customHeight="1" ht="11.549999999999999">
      <c r="A240" s="1043"/>
      <c r="B240" s="1692"/>
      <c r="C240" s="1692"/>
      <c r="D240" s="407"/>
      <c r="K240" s="1216"/>
      <c r="L240" s="1692"/>
      <c r="M240" s="1692"/>
      <c r="N240" s="1216"/>
      <c r="O240" s="1216"/>
      <c r="P240" s="1216"/>
      <c r="Q240" s="1216"/>
      <c r="R240" s="1692"/>
      <c r="S240" s="1216"/>
      <c r="T240" s="1216"/>
      <c r="U240" s="600"/>
      <c r="V240" s="1216"/>
      <c r="W240" s="1216"/>
      <c r="X240" s="1216"/>
      <c r="Y240" s="1216"/>
      <c r="Z240" s="1216"/>
      <c r="AA240" s="1688"/>
      <c r="AB240" s="622"/>
      <c r="AC240" s="622"/>
      <c r="AD240" s="622"/>
      <c r="AE240" s="622"/>
      <c r="AF240" s="1697">
        <v>11</v>
      </c>
    </row>
    <row s="3442" customFormat="1" customHeight="1" ht="11.549999999999999">
      <c r="A241" s="1043"/>
      <c r="B241" s="1692"/>
      <c r="C241" s="1692"/>
      <c r="D241" s="407"/>
      <c r="K241" s="1216"/>
      <c r="L241" s="1692"/>
      <c r="M241" s="1692"/>
      <c r="N241" s="1216"/>
      <c r="O241" s="1216"/>
      <c r="P241" s="1216"/>
      <c r="Q241" s="1216"/>
      <c r="R241" s="1692"/>
      <c r="S241" s="1216"/>
      <c r="T241" s="1216"/>
      <c r="U241" s="600"/>
      <c r="V241" s="1216"/>
      <c r="W241" s="1216"/>
      <c r="X241" s="1216"/>
      <c r="Y241" s="1216"/>
      <c r="Z241" s="1216"/>
      <c r="AA241" s="1688"/>
      <c r="AB241" s="622"/>
      <c r="AC241" s="622"/>
      <c r="AD241" s="622"/>
      <c r="AE241" s="622"/>
      <c r="AF241" s="1697">
        <v>11</v>
      </c>
    </row>
    <row s="3442" customFormat="1" customHeight="1" ht="11.549999999999999">
      <c r="A242" s="1043"/>
      <c r="B242" s="1692"/>
      <c r="C242" s="1692"/>
      <c r="D242" s="407"/>
      <c r="K242" s="1216"/>
      <c r="L242" s="1692"/>
      <c r="M242" s="1692"/>
      <c r="N242" s="1216"/>
      <c r="O242" s="1216"/>
      <c r="P242" s="1216"/>
      <c r="Q242" s="1216"/>
      <c r="R242" s="1692"/>
      <c r="S242" s="1216"/>
      <c r="T242" s="1216"/>
      <c r="U242" s="600"/>
      <c r="V242" s="1216"/>
      <c r="W242" s="1216"/>
      <c r="X242" s="1216"/>
      <c r="Y242" s="1216"/>
      <c r="Z242" s="1216"/>
      <c r="AA242" s="1688"/>
      <c r="AB242" s="622"/>
      <c r="AC242" s="622"/>
      <c r="AD242" s="622"/>
      <c r="AE242" s="622"/>
      <c r="AF242" s="1697">
        <v>11</v>
      </c>
    </row>
    <row s="3442" customFormat="1" customHeight="1" ht="11.549999999999999">
      <c r="A243" s="1043"/>
      <c r="B243" s="1692"/>
      <c r="C243" s="1692"/>
      <c r="D243" s="407"/>
      <c r="K243" s="1216"/>
      <c r="L243" s="1692"/>
      <c r="M243" s="1692"/>
      <c r="N243" s="1216"/>
      <c r="O243" s="1216"/>
      <c r="P243" s="1216"/>
      <c r="Q243" s="1216"/>
      <c r="R243" s="1692"/>
      <c r="S243" s="1216"/>
      <c r="T243" s="1216"/>
      <c r="U243" s="600"/>
      <c r="V243" s="1216"/>
      <c r="W243" s="1216"/>
      <c r="X243" s="1216"/>
      <c r="Y243" s="1216"/>
      <c r="Z243" s="1216"/>
      <c r="AA243" s="1688"/>
      <c r="AB243" s="622"/>
      <c r="AC243" s="622"/>
      <c r="AD243" s="622"/>
      <c r="AE243" s="622"/>
      <c r="AF243" s="1697">
        <v>11</v>
      </c>
    </row>
    <row s="3442" customFormat="1" customHeight="1" ht="11.549999999999999">
      <c r="A244" s="1043"/>
      <c r="B244" s="1692"/>
      <c r="C244" s="1692"/>
      <c r="D244" s="407"/>
      <c r="K244" s="1216"/>
      <c r="L244" s="1692"/>
      <c r="M244" s="1692"/>
      <c r="N244" s="1216"/>
      <c r="O244" s="1216"/>
      <c r="P244" s="1216"/>
      <c r="Q244" s="1216"/>
      <c r="R244" s="1692"/>
      <c r="S244" s="1216"/>
      <c r="T244" s="1216"/>
      <c r="U244" s="600"/>
      <c r="V244" s="1216"/>
      <c r="W244" s="1216"/>
      <c r="X244" s="1216"/>
      <c r="Y244" s="1216"/>
      <c r="Z244" s="1216"/>
      <c r="AA244" s="1688"/>
      <c r="AB244" s="622"/>
      <c r="AC244" s="622"/>
      <c r="AD244" s="622"/>
      <c r="AE244" s="622"/>
      <c r="AF244" s="1697">
        <v>11</v>
      </c>
    </row>
    <row s="3442" customFormat="1" customHeight="1" ht="11.549999999999999">
      <c r="A245" s="1043"/>
      <c r="B245" s="1692"/>
      <c r="C245" s="1692"/>
      <c r="D245" s="407"/>
      <c r="K245" s="1216"/>
      <c r="L245" s="1692"/>
      <c r="M245" s="1692"/>
      <c r="N245" s="1216"/>
      <c r="O245" s="1216"/>
      <c r="P245" s="1216"/>
      <c r="Q245" s="1216"/>
      <c r="R245" s="1692"/>
      <c r="S245" s="1216"/>
      <c r="T245" s="1216"/>
      <c r="U245" s="600"/>
      <c r="V245" s="1216"/>
      <c r="W245" s="1216"/>
      <c r="X245" s="1216"/>
      <c r="Y245" s="1216"/>
      <c r="Z245" s="1216"/>
      <c r="AA245" s="1688"/>
      <c r="AB245" s="622"/>
      <c r="AC245" s="622"/>
      <c r="AD245" s="622"/>
      <c r="AE245" s="622"/>
      <c r="AF245" s="1697">
        <v>11</v>
      </c>
    </row>
    <row s="3442" customFormat="1" customHeight="1" ht="11.549999999999999">
      <c r="A246" s="1043"/>
      <c r="B246" s="1692"/>
      <c r="C246" s="1692"/>
      <c r="D246" s="407"/>
      <c r="K246" s="1216"/>
      <c r="L246" s="1692"/>
      <c r="M246" s="1692"/>
      <c r="N246" s="1216"/>
      <c r="O246" s="1216"/>
      <c r="P246" s="1216"/>
      <c r="Q246" s="1216"/>
      <c r="R246" s="1692"/>
      <c r="S246" s="1216"/>
      <c r="T246" s="1216"/>
      <c r="U246" s="600"/>
      <c r="V246" s="1216"/>
      <c r="W246" s="1216"/>
      <c r="X246" s="1216"/>
      <c r="Y246" s="1216"/>
      <c r="Z246" s="1216"/>
      <c r="AA246" s="1688"/>
      <c r="AB246" s="622"/>
      <c r="AC246" s="622"/>
      <c r="AD246" s="622"/>
      <c r="AE246" s="622"/>
      <c r="AF246" s="1697">
        <v>11</v>
      </c>
    </row>
    <row s="3442" customFormat="1" customHeight="1" ht="11.549999999999999">
      <c r="A247" s="1043"/>
      <c r="B247" s="1692"/>
      <c r="C247" s="1692"/>
      <c r="D247" s="407"/>
      <c r="K247" s="1216"/>
      <c r="L247" s="1692"/>
      <c r="M247" s="1692"/>
      <c r="N247" s="1216"/>
      <c r="O247" s="1216"/>
      <c r="P247" s="1216"/>
      <c r="Q247" s="1216"/>
      <c r="R247" s="1692"/>
      <c r="S247" s="1216"/>
      <c r="T247" s="1216"/>
      <c r="U247" s="600"/>
      <c r="V247" s="1216"/>
      <c r="W247" s="1216"/>
      <c r="X247" s="1216"/>
      <c r="Y247" s="1216"/>
      <c r="Z247" s="1216"/>
      <c r="AA247" s="1688"/>
      <c r="AB247" s="622"/>
      <c r="AC247" s="622"/>
      <c r="AD247" s="622"/>
      <c r="AE247" s="622"/>
      <c r="AF247" s="1697">
        <v>11</v>
      </c>
    </row>
    <row s="3442" customFormat="1" customHeight="1" ht="11.549999999999999">
      <c r="A248" s="1043"/>
      <c r="B248" s="1692"/>
      <c r="C248" s="1692"/>
      <c r="D248" s="407"/>
      <c r="K248" s="1216"/>
      <c r="L248" s="1692"/>
      <c r="M248" s="1692"/>
      <c r="N248" s="1216"/>
      <c r="O248" s="1216"/>
      <c r="P248" s="1216"/>
      <c r="Q248" s="1216"/>
      <c r="R248" s="1692"/>
      <c r="S248" s="1216"/>
      <c r="T248" s="1216"/>
      <c r="U248" s="600"/>
      <c r="V248" s="1216"/>
      <c r="W248" s="1216"/>
      <c r="X248" s="1216"/>
      <c r="Y248" s="1216"/>
      <c r="Z248" s="1216"/>
      <c r="AA248" s="1688"/>
      <c r="AB248" s="622"/>
      <c r="AC248" s="622"/>
      <c r="AD248" s="622"/>
      <c r="AE248" s="622"/>
      <c r="AF248" s="1697">
        <v>11</v>
      </c>
    </row>
    <row s="3442" customFormat="1" customHeight="1" ht="11.549999999999999">
      <c r="A249" s="1043"/>
      <c r="B249" s="1692"/>
      <c r="C249" s="1692"/>
      <c r="D249" s="407"/>
      <c r="K249" s="1216"/>
      <c r="L249" s="1692"/>
      <c r="M249" s="1692"/>
      <c r="N249" s="1216"/>
      <c r="O249" s="1216"/>
      <c r="P249" s="1216"/>
      <c r="Q249" s="1216"/>
      <c r="R249" s="1692"/>
      <c r="S249" s="1216"/>
      <c r="T249" s="1216"/>
      <c r="U249" s="600"/>
      <c r="V249" s="1216"/>
      <c r="W249" s="1216"/>
      <c r="X249" s="1216"/>
      <c r="Y249" s="1216"/>
      <c r="Z249" s="1216"/>
      <c r="AA249" s="1688"/>
      <c r="AB249" s="622"/>
      <c r="AC249" s="622"/>
      <c r="AD249" s="622"/>
      <c r="AE249" s="622"/>
      <c r="AF249" s="1697">
        <v>11</v>
      </c>
    </row>
    <row s="3442" customFormat="1" customHeight="1" ht="11.549999999999999">
      <c r="A250" s="1043"/>
      <c r="B250" s="1692"/>
      <c r="C250" s="1692"/>
      <c r="D250" s="407"/>
      <c r="K250" s="1216"/>
      <c r="L250" s="1692"/>
      <c r="M250" s="1692"/>
      <c r="N250" s="1216"/>
      <c r="O250" s="1216"/>
      <c r="P250" s="1216"/>
      <c r="Q250" s="1216"/>
      <c r="R250" s="1692"/>
      <c r="S250" s="1216"/>
      <c r="T250" s="1216"/>
      <c r="U250" s="600"/>
      <c r="V250" s="1216"/>
      <c r="W250" s="1216"/>
      <c r="X250" s="1216"/>
      <c r="Y250" s="1216"/>
      <c r="Z250" s="1216"/>
      <c r="AA250" s="1688"/>
      <c r="AB250" s="622"/>
      <c r="AC250" s="622"/>
      <c r="AD250" s="622"/>
      <c r="AE250" s="622"/>
      <c r="AF250" s="1697">
        <v>11</v>
      </c>
    </row>
    <row s="3442" customFormat="1" customHeight="1" ht="11.549999999999999">
      <c r="A251" s="1043"/>
      <c r="B251" s="1692"/>
      <c r="C251" s="1692"/>
      <c r="D251" s="407"/>
      <c r="K251" s="1216"/>
      <c r="L251" s="1692"/>
      <c r="M251" s="1692"/>
      <c r="N251" s="1216"/>
      <c r="O251" s="1216"/>
      <c r="P251" s="1216"/>
      <c r="Q251" s="1216"/>
      <c r="R251" s="1692"/>
      <c r="S251" s="1216"/>
      <c r="T251" s="1216"/>
      <c r="U251" s="600"/>
      <c r="V251" s="1216"/>
      <c r="W251" s="1216"/>
      <c r="X251" s="1216"/>
      <c r="Y251" s="1216"/>
      <c r="Z251" s="1216"/>
      <c r="AA251" s="1688"/>
      <c r="AB251" s="622"/>
      <c r="AC251" s="622"/>
      <c r="AD251" s="622"/>
      <c r="AE251" s="622"/>
      <c r="AF251" s="1697">
        <v>11</v>
      </c>
    </row>
    <row s="3442" customFormat="1" customHeight="1" ht="11.549999999999999">
      <c r="A252" s="1043"/>
      <c r="B252" s="1692"/>
      <c r="C252" s="1692"/>
      <c r="D252" s="407"/>
      <c r="K252" s="1216"/>
      <c r="L252" s="1692"/>
      <c r="M252" s="1692"/>
      <c r="N252" s="1216"/>
      <c r="O252" s="1216"/>
      <c r="P252" s="1216"/>
      <c r="Q252" s="1216"/>
      <c r="R252" s="1692"/>
      <c r="S252" s="1216"/>
      <c r="T252" s="1216"/>
      <c r="U252" s="600"/>
      <c r="V252" s="1216"/>
      <c r="W252" s="1216"/>
      <c r="X252" s="1216"/>
      <c r="Y252" s="1216"/>
      <c r="Z252" s="1216"/>
      <c r="AA252" s="1688"/>
      <c r="AB252" s="622"/>
      <c r="AC252" s="622"/>
      <c r="AD252" s="622"/>
      <c r="AE252" s="622"/>
      <c r="AF252" s="1697">
        <v>11</v>
      </c>
    </row>
    <row s="3442" customFormat="1" customHeight="1" ht="11.549999999999999">
      <c r="A253" s="1043"/>
      <c r="B253" s="1692"/>
      <c r="C253" s="1692"/>
      <c r="D253" s="407"/>
      <c r="K253" s="1216"/>
      <c r="L253" s="1692"/>
      <c r="M253" s="1692"/>
      <c r="N253" s="1216"/>
      <c r="O253" s="1216"/>
      <c r="P253" s="1216"/>
      <c r="Q253" s="1216"/>
      <c r="R253" s="1692"/>
      <c r="S253" s="1216"/>
      <c r="T253" s="1216"/>
      <c r="U253" s="600"/>
      <c r="V253" s="1216"/>
      <c r="W253" s="1216"/>
      <c r="X253" s="1216"/>
      <c r="Y253" s="1216"/>
      <c r="Z253" s="1216"/>
      <c r="AA253" s="1688"/>
      <c r="AB253" s="622"/>
      <c r="AC253" s="622"/>
      <c r="AD253" s="622"/>
      <c r="AE253" s="622"/>
      <c r="AF253" s="1697">
        <v>11</v>
      </c>
    </row>
    <row s="3442" customFormat="1" customHeight="1" ht="11.549999999999999">
      <c r="A254" s="1043"/>
      <c r="B254" s="1692"/>
      <c r="C254" s="1692"/>
      <c r="D254" s="407"/>
      <c r="K254" s="1216"/>
      <c r="L254" s="1692"/>
      <c r="M254" s="1692"/>
      <c r="N254" s="1216"/>
      <c r="O254" s="1216"/>
      <c r="P254" s="1216"/>
      <c r="Q254" s="1216"/>
      <c r="R254" s="1692"/>
      <c r="S254" s="1216"/>
      <c r="T254" s="1216"/>
      <c r="U254" s="600"/>
      <c r="V254" s="1216"/>
      <c r="W254" s="1216"/>
      <c r="X254" s="1216"/>
      <c r="Y254" s="1216"/>
      <c r="Z254" s="1216"/>
      <c r="AA254" s="1688"/>
      <c r="AB254" s="622"/>
      <c r="AC254" s="622"/>
      <c r="AD254" s="622"/>
      <c r="AE254" s="622"/>
      <c r="AF254" s="1697">
        <v>11</v>
      </c>
    </row>
    <row s="3442" customFormat="1" customHeight="1" ht="11.549999999999999">
      <c r="A255" s="1043"/>
      <c r="B255" s="1692"/>
      <c r="C255" s="1692"/>
      <c r="D255" s="407"/>
      <c r="K255" s="1216"/>
      <c r="L255" s="1692"/>
      <c r="M255" s="1692"/>
      <c r="N255" s="1216"/>
      <c r="O255" s="1216"/>
      <c r="P255" s="1216"/>
      <c r="Q255" s="1216"/>
      <c r="R255" s="1692"/>
      <c r="S255" s="1216"/>
      <c r="T255" s="1216"/>
      <c r="U255" s="600"/>
      <c r="V255" s="1216"/>
      <c r="W255" s="1216"/>
      <c r="X255" s="1216"/>
      <c r="Y255" s="1216"/>
      <c r="Z255" s="1216"/>
      <c r="AA255" s="1688"/>
      <c r="AB255" s="622"/>
      <c r="AC255" s="622"/>
      <c r="AD255" s="622"/>
      <c r="AE255" s="622"/>
      <c r="AF255" s="1697">
        <v>11</v>
      </c>
    </row>
    <row s="3442" customFormat="1" customHeight="1" ht="11.549999999999999">
      <c r="A256" s="1043"/>
      <c r="B256" s="1692"/>
      <c r="C256" s="1692"/>
      <c r="D256" s="407"/>
      <c r="K256" s="1216"/>
      <c r="L256" s="1692"/>
      <c r="M256" s="1692"/>
      <c r="N256" s="1216"/>
      <c r="O256" s="1216"/>
      <c r="P256" s="1216"/>
      <c r="Q256" s="1216"/>
      <c r="R256" s="1692"/>
      <c r="S256" s="1216"/>
      <c r="T256" s="1216"/>
      <c r="U256" s="600"/>
      <c r="V256" s="1216"/>
      <c r="W256" s="1216"/>
      <c r="X256" s="1216"/>
      <c r="Y256" s="1216"/>
      <c r="Z256" s="1216"/>
      <c r="AA256" s="1688"/>
      <c r="AB256" s="622"/>
      <c r="AC256" s="622"/>
      <c r="AD256" s="622"/>
      <c r="AE256" s="622"/>
      <c r="AF256" s="1697">
        <v>11</v>
      </c>
    </row>
    <row s="3442" customFormat="1" customHeight="1" ht="11.549999999999999">
      <c r="A257" s="1043"/>
      <c r="B257" s="1692"/>
      <c r="C257" s="1692"/>
      <c r="D257" s="407"/>
      <c r="K257" s="1216"/>
      <c r="L257" s="1692"/>
      <c r="M257" s="1692"/>
      <c r="N257" s="1216"/>
      <c r="O257" s="1216"/>
      <c r="P257" s="1216"/>
      <c r="Q257" s="1216"/>
      <c r="R257" s="1692"/>
      <c r="S257" s="1216"/>
      <c r="T257" s="1216"/>
      <c r="U257" s="600"/>
      <c r="V257" s="1216"/>
      <c r="W257" s="1216"/>
      <c r="X257" s="1216"/>
      <c r="Y257" s="1216"/>
      <c r="Z257" s="1216"/>
      <c r="AA257" s="1688"/>
      <c r="AB257" s="622"/>
      <c r="AC257" s="622"/>
      <c r="AD257" s="622"/>
      <c r="AE257" s="622"/>
      <c r="AF257" s="1697">
        <v>11</v>
      </c>
    </row>
    <row s="3442" customFormat="1" customHeight="1" ht="11.549999999999999">
      <c r="A258" s="1043"/>
      <c r="B258" s="1692"/>
      <c r="C258" s="1692"/>
      <c r="D258" s="407"/>
      <c r="K258" s="1216"/>
      <c r="L258" s="1692"/>
      <c r="M258" s="1692"/>
      <c r="N258" s="1216"/>
      <c r="O258" s="1216"/>
      <c r="P258" s="1216"/>
      <c r="Q258" s="1216"/>
      <c r="R258" s="1692"/>
      <c r="S258" s="1216"/>
      <c r="T258" s="1216"/>
      <c r="U258" s="600"/>
      <c r="V258" s="1216"/>
      <c r="W258" s="1216"/>
      <c r="X258" s="1216"/>
      <c r="Y258" s="1216"/>
      <c r="Z258" s="1216"/>
      <c r="AA258" s="1688"/>
      <c r="AB258" s="622"/>
      <c r="AC258" s="622"/>
      <c r="AD258" s="622"/>
      <c r="AE258" s="622"/>
      <c r="AF258" s="1697">
        <v>11</v>
      </c>
    </row>
    <row s="3442" customFormat="1" customHeight="1" ht="11.549999999999999">
      <c r="A259" s="1043"/>
      <c r="B259" s="1692"/>
      <c r="C259" s="1692"/>
      <c r="D259" s="407"/>
      <c r="K259" s="1216"/>
      <c r="L259" s="1692"/>
      <c r="M259" s="1692"/>
      <c r="N259" s="1216"/>
      <c r="O259" s="1216"/>
      <c r="P259" s="1216"/>
      <c r="Q259" s="1216"/>
      <c r="R259" s="1692"/>
      <c r="S259" s="1216"/>
      <c r="T259" s="1216"/>
      <c r="U259" s="600"/>
      <c r="V259" s="1216"/>
      <c r="W259" s="1216"/>
      <c r="X259" s="1216"/>
      <c r="Y259" s="1216"/>
      <c r="Z259" s="1216"/>
      <c r="AA259" s="1688"/>
      <c r="AB259" s="622"/>
      <c r="AC259" s="622"/>
      <c r="AD259" s="622"/>
      <c r="AE259" s="622"/>
      <c r="AF259" s="1697">
        <v>11</v>
      </c>
    </row>
    <row s="3442" customFormat="1" customHeight="1" ht="11.549999999999999">
      <c r="A260" s="1043"/>
      <c r="B260" s="1692"/>
      <c r="C260" s="1692"/>
      <c r="D260" s="407"/>
      <c r="K260" s="1216"/>
      <c r="L260" s="1692"/>
      <c r="M260" s="1692"/>
      <c r="N260" s="1216"/>
      <c r="O260" s="1216"/>
      <c r="P260" s="1216"/>
      <c r="Q260" s="1216"/>
      <c r="R260" s="1692"/>
      <c r="S260" s="1216"/>
      <c r="T260" s="1216"/>
      <c r="U260" s="600"/>
      <c r="V260" s="1216"/>
      <c r="W260" s="1216"/>
      <c r="X260" s="1216"/>
      <c r="Y260" s="1216"/>
      <c r="Z260" s="1216"/>
      <c r="AA260" s="1688"/>
      <c r="AB260" s="622"/>
      <c r="AC260" s="622"/>
      <c r="AD260" s="622"/>
      <c r="AE260" s="622"/>
      <c r="AF260" s="1697">
        <v>11</v>
      </c>
    </row>
    <row s="3442" customFormat="1" customHeight="1" ht="11.549999999999999">
      <c r="A261" s="1043"/>
      <c r="B261" s="1692"/>
      <c r="C261" s="1692"/>
      <c r="D261" s="407"/>
      <c r="K261" s="1216"/>
      <c r="L261" s="1692"/>
      <c r="M261" s="1692"/>
      <c r="N261" s="1216"/>
      <c r="O261" s="1216"/>
      <c r="P261" s="1216"/>
      <c r="Q261" s="1216"/>
      <c r="R261" s="1692"/>
      <c r="S261" s="1216"/>
      <c r="T261" s="1216"/>
      <c r="U261" s="600"/>
      <c r="V261" s="1216"/>
      <c r="W261" s="1216"/>
      <c r="X261" s="1216"/>
      <c r="Y261" s="1216"/>
      <c r="Z261" s="1216"/>
      <c r="AA261" s="1688"/>
      <c r="AB261" s="622"/>
      <c r="AC261" s="622"/>
      <c r="AD261" s="622"/>
      <c r="AE261" s="622"/>
      <c r="AF261" s="1697">
        <v>11</v>
      </c>
    </row>
    <row s="3442" customFormat="1" customHeight="1" ht="11.549999999999999">
      <c r="A262" s="1043"/>
      <c r="B262" s="1692"/>
      <c r="C262" s="1692"/>
      <c r="D262" s="407"/>
      <c r="K262" s="1216"/>
      <c r="L262" s="1692"/>
      <c r="M262" s="1692"/>
      <c r="N262" s="1216"/>
      <c r="O262" s="1216"/>
      <c r="P262" s="1216"/>
      <c r="Q262" s="1216"/>
      <c r="R262" s="1692"/>
      <c r="S262" s="1216"/>
      <c r="T262" s="1216"/>
      <c r="U262" s="600"/>
      <c r="V262" s="1216"/>
      <c r="W262" s="1216"/>
      <c r="X262" s="1216"/>
      <c r="Y262" s="1216"/>
      <c r="Z262" s="1216"/>
      <c r="AA262" s="1688"/>
      <c r="AB262" s="622"/>
      <c r="AC262" s="622"/>
      <c r="AD262" s="622"/>
      <c r="AE262" s="622"/>
      <c r="AF262" s="1697">
        <v>11</v>
      </c>
    </row>
    <row s="3442" customFormat="1" customHeight="1" ht="11.549999999999999">
      <c r="A263" s="1043"/>
      <c r="B263" s="1692"/>
      <c r="C263" s="1692"/>
      <c r="D263" s="407"/>
      <c r="K263" s="1216"/>
      <c r="L263" s="1692"/>
      <c r="M263" s="1692"/>
      <c r="N263" s="1216"/>
      <c r="O263" s="1216"/>
      <c r="P263" s="1216"/>
      <c r="Q263" s="1216"/>
      <c r="R263" s="1692"/>
      <c r="S263" s="1216"/>
      <c r="T263" s="1216"/>
      <c r="U263" s="600"/>
      <c r="V263" s="1216"/>
      <c r="W263" s="1216"/>
      <c r="X263" s="1216"/>
      <c r="Y263" s="1216"/>
      <c r="Z263" s="1216"/>
      <c r="AA263" s="1688"/>
      <c r="AB263" s="622"/>
      <c r="AC263" s="622"/>
      <c r="AD263" s="622"/>
      <c r="AE263" s="622"/>
      <c r="AF263" s="1697">
        <v>11</v>
      </c>
    </row>
    <row s="3442" customFormat="1" customHeight="1" ht="11.549999999999999">
      <c r="A264" s="1043"/>
      <c r="B264" s="1692"/>
      <c r="C264" s="1692"/>
      <c r="D264" s="407"/>
      <c r="K264" s="1216"/>
      <c r="L264" s="1692"/>
      <c r="M264" s="1692"/>
      <c r="N264" s="1216"/>
      <c r="O264" s="1216"/>
      <c r="P264" s="1216"/>
      <c r="Q264" s="1216"/>
      <c r="R264" s="1692"/>
      <c r="S264" s="1216"/>
      <c r="T264" s="1216"/>
      <c r="U264" s="600"/>
      <c r="V264" s="1216"/>
      <c r="W264" s="1216"/>
      <c r="X264" s="1216"/>
      <c r="Y264" s="1216"/>
      <c r="Z264" s="1216"/>
      <c r="AA264" s="1688"/>
      <c r="AB264" s="622"/>
      <c r="AC264" s="622"/>
      <c r="AD264" s="622"/>
      <c r="AE264" s="622"/>
      <c r="AF264" s="1697">
        <v>11</v>
      </c>
    </row>
    <row s="3442" customFormat="1" customHeight="1" ht="11.549999999999999">
      <c r="A265" s="1043"/>
      <c r="B265" s="1692"/>
      <c r="C265" s="1692"/>
      <c r="D265" s="407"/>
      <c r="K265" s="1216"/>
      <c r="L265" s="1692"/>
      <c r="M265" s="1692"/>
      <c r="N265" s="1216"/>
      <c r="O265" s="1216"/>
      <c r="P265" s="1216"/>
      <c r="Q265" s="1216"/>
      <c r="R265" s="1692"/>
      <c r="S265" s="1216"/>
      <c r="T265" s="1216"/>
      <c r="U265" s="600"/>
      <c r="V265" s="1216"/>
      <c r="W265" s="1216"/>
      <c r="X265" s="1216"/>
      <c r="Y265" s="1216"/>
      <c r="Z265" s="1216"/>
      <c r="AA265" s="1688"/>
      <c r="AB265" s="622"/>
      <c r="AC265" s="622"/>
      <c r="AD265" s="622"/>
      <c r="AE265" s="622"/>
      <c r="AF265" s="1697">
        <v>11</v>
      </c>
    </row>
    <row s="3442" customFormat="1" customHeight="1" ht="11.549999999999999">
      <c r="A266" s="1043"/>
      <c r="B266" s="1692"/>
      <c r="C266" s="1692"/>
      <c r="D266" s="407"/>
      <c r="K266" s="1216"/>
      <c r="L266" s="1692"/>
      <c r="M266" s="1692"/>
      <c r="N266" s="1216"/>
      <c r="O266" s="1216"/>
      <c r="P266" s="1216"/>
      <c r="Q266" s="1216"/>
      <c r="R266" s="1692"/>
      <c r="S266" s="1216"/>
      <c r="T266" s="1216"/>
      <c r="U266" s="600"/>
      <c r="V266" s="1216"/>
      <c r="W266" s="1216"/>
      <c r="X266" s="1216"/>
      <c r="Y266" s="1216"/>
      <c r="Z266" s="1216"/>
      <c r="AA266" s="1688"/>
      <c r="AB266" s="622"/>
      <c r="AC266" s="622"/>
      <c r="AD266" s="622"/>
      <c r="AE266" s="622"/>
      <c r="AF266" s="1697">
        <v>11</v>
      </c>
    </row>
    <row s="3442" customFormat="1" customHeight="1" ht="11.549999999999999">
      <c r="A267" s="1043"/>
      <c r="B267" s="1692"/>
      <c r="C267" s="1692"/>
      <c r="D267" s="407"/>
      <c r="K267" s="1216"/>
      <c r="L267" s="1692"/>
      <c r="M267" s="1692"/>
      <c r="N267" s="1216"/>
      <c r="O267" s="1216"/>
      <c r="P267" s="1216"/>
      <c r="Q267" s="1216"/>
      <c r="R267" s="1692"/>
      <c r="S267" s="1216"/>
      <c r="T267" s="1216"/>
      <c r="U267" s="600"/>
      <c r="V267" s="1216"/>
      <c r="W267" s="1216"/>
      <c r="X267" s="1216"/>
      <c r="Y267" s="1216"/>
      <c r="Z267" s="1216"/>
      <c r="AA267" s="1688"/>
      <c r="AB267" s="622"/>
      <c r="AC267" s="622"/>
      <c r="AD267" s="622"/>
      <c r="AE267" s="622"/>
      <c r="AF267" s="1697">
        <v>11</v>
      </c>
    </row>
    <row s="3442" customFormat="1" customHeight="1" ht="11.549999999999999">
      <c r="A268" s="1043"/>
      <c r="B268" s="1692"/>
      <c r="C268" s="1692"/>
      <c r="D268" s="407"/>
      <c r="K268" s="1216"/>
      <c r="L268" s="1692"/>
      <c r="M268" s="1692"/>
      <c r="N268" s="1216"/>
      <c r="O268" s="1216"/>
      <c r="P268" s="1216"/>
      <c r="Q268" s="1216"/>
      <c r="R268" s="1692"/>
      <c r="S268" s="1216"/>
      <c r="T268" s="1216"/>
      <c r="U268" s="600"/>
      <c r="V268" s="1216"/>
      <c r="W268" s="1216"/>
      <c r="X268" s="1216"/>
      <c r="Y268" s="1216"/>
      <c r="Z268" s="1216"/>
      <c r="AA268" s="1688"/>
      <c r="AB268" s="622"/>
      <c r="AC268" s="622"/>
      <c r="AD268" s="622"/>
      <c r="AE268" s="622"/>
      <c r="AF268" s="1697">
        <v>11</v>
      </c>
    </row>
    <row s="3442" customFormat="1" customHeight="1" ht="11.549999999999999">
      <c r="A269" s="1043"/>
      <c r="B269" s="1692"/>
      <c r="C269" s="1692"/>
      <c r="D269" s="407"/>
      <c r="K269" s="1216"/>
      <c r="L269" s="1692"/>
      <c r="M269" s="1692"/>
      <c r="N269" s="1216"/>
      <c r="O269" s="1216"/>
      <c r="P269" s="1216"/>
      <c r="Q269" s="1216"/>
      <c r="R269" s="1692"/>
      <c r="S269" s="1216"/>
      <c r="T269" s="1216"/>
      <c r="U269" s="600"/>
      <c r="V269" s="1216"/>
      <c r="W269" s="1216"/>
      <c r="X269" s="1216"/>
      <c r="Y269" s="1216"/>
      <c r="Z269" s="1216"/>
      <c r="AA269" s="1688"/>
      <c r="AB269" s="622"/>
      <c r="AC269" s="622"/>
      <c r="AD269" s="622"/>
      <c r="AE269" s="622"/>
      <c r="AF269" s="1697">
        <v>11</v>
      </c>
    </row>
    <row s="3442" customFormat="1" customHeight="1" ht="11.549999999999999">
      <c r="A270" s="1043"/>
      <c r="B270" s="1692"/>
      <c r="C270" s="1692"/>
      <c r="D270" s="407"/>
      <c r="K270" s="1216"/>
      <c r="L270" s="1692"/>
      <c r="M270" s="1692"/>
      <c r="N270" s="1216"/>
      <c r="O270" s="1216"/>
      <c r="P270" s="1216"/>
      <c r="Q270" s="1216"/>
      <c r="R270" s="1692"/>
      <c r="S270" s="1216"/>
      <c r="T270" s="1216"/>
      <c r="U270" s="600"/>
      <c r="V270" s="1216"/>
      <c r="W270" s="1216"/>
      <c r="X270" s="1216"/>
      <c r="Y270" s="1216"/>
      <c r="Z270" s="1216"/>
      <c r="AA270" s="1688"/>
      <c r="AB270" s="622"/>
      <c r="AC270" s="622"/>
      <c r="AD270" s="622"/>
      <c r="AE270" s="622"/>
      <c r="AF270" s="1697">
        <v>11</v>
      </c>
    </row>
    <row s="3442" customFormat="1" customHeight="1" ht="11.549999999999999">
      <c r="A271" s="1043"/>
      <c r="B271" s="1692"/>
      <c r="C271" s="1692"/>
      <c r="D271" s="407"/>
      <c r="K271" s="1216"/>
      <c r="L271" s="1692"/>
      <c r="M271" s="1692"/>
      <c r="N271" s="1216"/>
      <c r="O271" s="1216"/>
      <c r="P271" s="1216"/>
      <c r="Q271" s="1216"/>
      <c r="R271" s="1692"/>
      <c r="S271" s="1216"/>
      <c r="T271" s="1216"/>
      <c r="U271" s="600"/>
      <c r="V271" s="1216"/>
      <c r="W271" s="1216"/>
      <c r="X271" s="1216"/>
      <c r="Y271" s="1216"/>
      <c r="Z271" s="1216"/>
      <c r="AA271" s="1688"/>
      <c r="AB271" s="622"/>
      <c r="AC271" s="622"/>
      <c r="AD271" s="622"/>
      <c r="AE271" s="622"/>
      <c r="AF271" s="1697">
        <v>11</v>
      </c>
    </row>
    <row s="3442" customFormat="1" customHeight="1" ht="11.549999999999999">
      <c r="A272" s="1043"/>
      <c r="B272" s="1692"/>
      <c r="C272" s="1692"/>
      <c r="D272" s="407"/>
      <c r="K272" s="1216"/>
      <c r="L272" s="1692"/>
      <c r="M272" s="1692"/>
      <c r="N272" s="1216"/>
      <c r="O272" s="1216"/>
      <c r="P272" s="1216"/>
      <c r="Q272" s="1216"/>
      <c r="R272" s="1692"/>
      <c r="S272" s="1216"/>
      <c r="T272" s="1216"/>
      <c r="U272" s="600"/>
      <c r="V272" s="1216"/>
      <c r="W272" s="1216"/>
      <c r="X272" s="1216"/>
      <c r="Y272" s="1216"/>
      <c r="Z272" s="1216"/>
      <c r="AA272" s="1688"/>
      <c r="AB272" s="622"/>
      <c r="AC272" s="622"/>
      <c r="AD272" s="622"/>
      <c r="AE272" s="622"/>
      <c r="AF272" s="1697">
        <v>11</v>
      </c>
    </row>
    <row s="3442" customFormat="1" customHeight="1" ht="11.549999999999999">
      <c r="A273" s="1043"/>
      <c r="B273" s="1692"/>
      <c r="C273" s="1692"/>
      <c r="D273" s="407"/>
      <c r="K273" s="1216"/>
      <c r="L273" s="1692"/>
      <c r="M273" s="1692"/>
      <c r="N273" s="1216"/>
      <c r="O273" s="1216"/>
      <c r="P273" s="1216"/>
      <c r="Q273" s="1216"/>
      <c r="R273" s="1692"/>
      <c r="S273" s="1216"/>
      <c r="T273" s="1216"/>
      <c r="U273" s="600"/>
      <c r="V273" s="1216"/>
      <c r="W273" s="1216"/>
      <c r="X273" s="1216"/>
      <c r="Y273" s="1216"/>
      <c r="Z273" s="1216"/>
      <c r="AA273" s="1688"/>
      <c r="AB273" s="622"/>
      <c r="AC273" s="622"/>
      <c r="AD273" s="622"/>
      <c r="AE273" s="622"/>
      <c r="AF273" s="1697">
        <v>11</v>
      </c>
    </row>
    <row s="3442" customFormat="1" customHeight="1" ht="11.549999999999999">
      <c r="A274" s="1043"/>
      <c r="B274" s="1692"/>
      <c r="C274" s="1692"/>
      <c r="D274" s="407"/>
      <c r="K274" s="1216"/>
      <c r="L274" s="1692"/>
      <c r="M274" s="1692"/>
      <c r="N274" s="1216"/>
      <c r="O274" s="1216"/>
      <c r="P274" s="1216"/>
      <c r="Q274" s="1216"/>
      <c r="R274" s="1692"/>
      <c r="S274" s="1216"/>
      <c r="T274" s="1216"/>
      <c r="U274" s="600"/>
      <c r="V274" s="1216"/>
      <c r="W274" s="1216"/>
      <c r="X274" s="1216"/>
      <c r="Y274" s="1216"/>
      <c r="Z274" s="1216"/>
      <c r="AA274" s="1688"/>
      <c r="AB274" s="622"/>
      <c r="AC274" s="622"/>
      <c r="AD274" s="622"/>
      <c r="AE274" s="622"/>
      <c r="AF274" s="1697">
        <v>11</v>
      </c>
    </row>
    <row s="3442" customFormat="1" customHeight="1" ht="11.549999999999999">
      <c r="A275" s="1043"/>
      <c r="B275" s="1692"/>
      <c r="C275" s="1692"/>
      <c r="D275" s="407"/>
      <c r="K275" s="1216"/>
      <c r="L275" s="1692"/>
      <c r="M275" s="1692"/>
      <c r="N275" s="1216"/>
      <c r="O275" s="1216"/>
      <c r="P275" s="1216"/>
      <c r="Q275" s="1216"/>
      <c r="R275" s="1692"/>
      <c r="S275" s="1216"/>
      <c r="T275" s="1216"/>
      <c r="U275" s="600"/>
      <c r="V275" s="1216"/>
      <c r="W275" s="1216"/>
      <c r="X275" s="1216"/>
      <c r="Y275" s="1216"/>
      <c r="Z275" s="1216"/>
      <c r="AA275" s="1688"/>
      <c r="AB275" s="622"/>
      <c r="AC275" s="622"/>
      <c r="AD275" s="622"/>
      <c r="AE275" s="622"/>
      <c r="AF275" s="1697">
        <v>11</v>
      </c>
    </row>
    <row s="3442" customFormat="1" customHeight="1" ht="11.549999999999999">
      <c r="A276" s="1043"/>
      <c r="B276" s="1692"/>
      <c r="C276" s="1692"/>
      <c r="D276" s="407"/>
      <c r="K276" s="1216"/>
      <c r="L276" s="1692"/>
      <c r="M276" s="1692"/>
      <c r="N276" s="1216"/>
      <c r="O276" s="1216"/>
      <c r="P276" s="1216"/>
      <c r="Q276" s="1216"/>
      <c r="R276" s="1692"/>
      <c r="S276" s="1216"/>
      <c r="T276" s="1216"/>
      <c r="U276" s="600"/>
      <c r="V276" s="1216"/>
      <c r="W276" s="1216"/>
      <c r="X276" s="1216"/>
      <c r="Y276" s="1216"/>
      <c r="Z276" s="1216"/>
      <c r="AA276" s="1688"/>
      <c r="AB276" s="622"/>
      <c r="AC276" s="622"/>
      <c r="AD276" s="622"/>
      <c r="AE276" s="622"/>
      <c r="AF276" s="1697">
        <v>11</v>
      </c>
    </row>
    <row s="3442" customFormat="1" customHeight="1" ht="11.549999999999999">
      <c r="A277" s="1043"/>
      <c r="B277" s="1692"/>
      <c r="C277" s="1692"/>
      <c r="D277" s="407"/>
      <c r="K277" s="1216"/>
      <c r="L277" s="1692"/>
      <c r="M277" s="1692"/>
      <c r="N277" s="1216"/>
      <c r="O277" s="1216"/>
      <c r="P277" s="1216"/>
      <c r="Q277" s="1216"/>
      <c r="R277" s="1692"/>
      <c r="S277" s="1216"/>
      <c r="T277" s="1216"/>
      <c r="U277" s="600"/>
      <c r="V277" s="1216"/>
      <c r="W277" s="1216"/>
      <c r="X277" s="1216"/>
      <c r="Y277" s="1216"/>
      <c r="Z277" s="1216"/>
      <c r="AA277" s="1688"/>
      <c r="AB277" s="622"/>
      <c r="AC277" s="622"/>
      <c r="AD277" s="622"/>
      <c r="AE277" s="622"/>
      <c r="AF277" s="1697">
        <v>11</v>
      </c>
    </row>
    <row s="3442" customFormat="1" customHeight="1" ht="11.549999999999999">
      <c r="A278" s="1043"/>
      <c r="B278" s="1692"/>
      <c r="C278" s="1692"/>
      <c r="D278" s="407"/>
      <c r="K278" s="1216"/>
      <c r="L278" s="1692"/>
      <c r="M278" s="1692"/>
      <c r="N278" s="1216"/>
      <c r="O278" s="1216"/>
      <c r="P278" s="1216"/>
      <c r="Q278" s="1216"/>
      <c r="R278" s="1692"/>
      <c r="S278" s="1216"/>
      <c r="T278" s="1216"/>
      <c r="U278" s="600"/>
      <c r="V278" s="1216"/>
      <c r="W278" s="1216"/>
      <c r="X278" s="1216"/>
      <c r="Y278" s="1216"/>
      <c r="Z278" s="1216"/>
      <c r="AA278" s="1688"/>
      <c r="AB278" s="622"/>
      <c r="AC278" s="622"/>
      <c r="AD278" s="622"/>
      <c r="AE278" s="622"/>
      <c r="AF278" s="1697">
        <v>11</v>
      </c>
    </row>
    <row s="3442" customFormat="1" customHeight="1" ht="11.549999999999999">
      <c r="A279" s="1043"/>
      <c r="B279" s="1692"/>
      <c r="C279" s="1692"/>
      <c r="D279" s="407"/>
      <c r="K279" s="1216"/>
      <c r="L279" s="1692"/>
      <c r="M279" s="1692"/>
      <c r="N279" s="1216"/>
      <c r="O279" s="1216"/>
      <c r="P279" s="1216"/>
      <c r="Q279" s="1216"/>
      <c r="R279" s="1692"/>
      <c r="S279" s="1216"/>
      <c r="T279" s="1216"/>
      <c r="U279" s="600"/>
      <c r="V279" s="1216"/>
      <c r="W279" s="1216"/>
      <c r="X279" s="1216"/>
      <c r="Y279" s="1216"/>
      <c r="Z279" s="1216"/>
      <c r="AA279" s="1688"/>
      <c r="AB279" s="622"/>
      <c r="AC279" s="622"/>
      <c r="AD279" s="622"/>
      <c r="AE279" s="622"/>
      <c r="AF279" s="1697">
        <v>11</v>
      </c>
    </row>
    <row s="3442" customFormat="1" customHeight="1" ht="11.549999999999999">
      <c r="A280" s="1043"/>
      <c r="B280" s="1692"/>
      <c r="C280" s="1692"/>
      <c r="D280" s="407"/>
      <c r="K280" s="1216"/>
      <c r="L280" s="1692"/>
      <c r="M280" s="1692"/>
      <c r="N280" s="1216"/>
      <c r="O280" s="1216"/>
      <c r="P280" s="1216"/>
      <c r="Q280" s="1216"/>
      <c r="R280" s="1692"/>
      <c r="S280" s="1216"/>
      <c r="T280" s="1216"/>
      <c r="U280" s="600"/>
      <c r="V280" s="1216"/>
      <c r="W280" s="1216"/>
      <c r="X280" s="1216"/>
      <c r="Y280" s="1216"/>
      <c r="Z280" s="1216"/>
      <c r="AA280" s="1688"/>
      <c r="AB280" s="622"/>
      <c r="AC280" s="622"/>
      <c r="AD280" s="622"/>
      <c r="AE280" s="622"/>
      <c r="AF280" s="1697">
        <v>11</v>
      </c>
    </row>
    <row s="3442" customFormat="1" customHeight="1" ht="11.549999999999999">
      <c r="A281" s="1043"/>
      <c r="B281" s="1692"/>
      <c r="C281" s="1692"/>
      <c r="D281" s="407"/>
      <c r="K281" s="1216"/>
      <c r="L281" s="1692"/>
      <c r="M281" s="1692"/>
      <c r="N281" s="1216"/>
      <c r="O281" s="1216"/>
      <c r="P281" s="1216"/>
      <c r="Q281" s="1216"/>
      <c r="R281" s="1692"/>
      <c r="S281" s="1216"/>
      <c r="T281" s="1216"/>
      <c r="U281" s="600"/>
      <c r="V281" s="1216"/>
      <c r="W281" s="1216"/>
      <c r="X281" s="1216"/>
      <c r="Y281" s="1216"/>
      <c r="Z281" s="1216"/>
      <c r="AA281" s="1688"/>
      <c r="AB281" s="622"/>
      <c r="AC281" s="622"/>
      <c r="AD281" s="622"/>
      <c r="AE281" s="622"/>
      <c r="AF281" s="1697">
        <v>11</v>
      </c>
    </row>
    <row s="3442" customFormat="1" customHeight="1" ht="11.549999999999999">
      <c r="A282" s="1043"/>
      <c r="B282" s="1692"/>
      <c r="C282" s="1692"/>
      <c r="D282" s="407"/>
      <c r="K282" s="1216"/>
      <c r="L282" s="1692"/>
      <c r="M282" s="1692"/>
      <c r="N282" s="1216"/>
      <c r="O282" s="1216"/>
      <c r="P282" s="1216"/>
      <c r="Q282" s="1216"/>
      <c r="R282" s="1692"/>
      <c r="S282" s="1216"/>
      <c r="T282" s="1216"/>
      <c r="U282" s="600"/>
      <c r="V282" s="1216"/>
      <c r="W282" s="1216"/>
      <c r="X282" s="1216"/>
      <c r="Y282" s="1216"/>
      <c r="Z282" s="1216"/>
      <c r="AA282" s="1688"/>
      <c r="AB282" s="622"/>
      <c r="AC282" s="622"/>
      <c r="AD282" s="622"/>
      <c r="AE282" s="622"/>
      <c r="AF282" s="1697">
        <v>11</v>
      </c>
    </row>
    <row s="3442" customFormat="1" customHeight="1" ht="11.549999999999999">
      <c r="A283" s="1043"/>
      <c r="B283" s="1692"/>
      <c r="C283" s="1692"/>
      <c r="D283" s="407"/>
      <c r="K283" s="1216"/>
      <c r="L283" s="1692"/>
      <c r="M283" s="1692"/>
      <c r="N283" s="1216"/>
      <c r="O283" s="1216"/>
      <c r="P283" s="1216"/>
      <c r="Q283" s="1216"/>
      <c r="R283" s="1692"/>
      <c r="S283" s="1216"/>
      <c r="T283" s="1216"/>
      <c r="U283" s="600"/>
      <c r="V283" s="1216"/>
      <c r="W283" s="1216"/>
      <c r="X283" s="1216"/>
      <c r="Y283" s="1216"/>
      <c r="Z283" s="1216"/>
      <c r="AA283" s="1688"/>
      <c r="AB283" s="622"/>
      <c r="AC283" s="622"/>
      <c r="AD283" s="622"/>
      <c r="AE283" s="622"/>
      <c r="AF283" s="1697">
        <v>11</v>
      </c>
    </row>
    <row s="3442" customFormat="1" customHeight="1" ht="11.549999999999999">
      <c r="A284" s="1043"/>
      <c r="B284" s="1692"/>
      <c r="C284" s="1692"/>
      <c r="D284" s="407"/>
      <c r="K284" s="1216"/>
      <c r="L284" s="1692"/>
      <c r="M284" s="1692"/>
      <c r="N284" s="1216"/>
      <c r="O284" s="1216"/>
      <c r="P284" s="1216"/>
      <c r="Q284" s="1216"/>
      <c r="R284" s="1692"/>
      <c r="S284" s="1216"/>
      <c r="T284" s="1216"/>
      <c r="U284" s="600"/>
      <c r="V284" s="1216"/>
      <c r="W284" s="1216"/>
      <c r="X284" s="1216"/>
      <c r="Y284" s="1216"/>
      <c r="Z284" s="1216"/>
      <c r="AA284" s="1688"/>
      <c r="AB284" s="622"/>
      <c r="AC284" s="622"/>
      <c r="AD284" s="622"/>
      <c r="AE284" s="622"/>
      <c r="AF284" s="1697">
        <v>11</v>
      </c>
    </row>
    <row s="3442" customFormat="1" customHeight="1" ht="11.549999999999999">
      <c r="A285" s="1043"/>
      <c r="B285" s="1692"/>
      <c r="C285" s="1692"/>
      <c r="D285" s="407"/>
      <c r="K285" s="1216"/>
      <c r="L285" s="1692"/>
      <c r="M285" s="1692"/>
      <c r="N285" s="1216"/>
      <c r="O285" s="1216"/>
      <c r="P285" s="1216"/>
      <c r="Q285" s="1216"/>
      <c r="R285" s="1692"/>
      <c r="S285" s="1216"/>
      <c r="T285" s="1216"/>
      <c r="U285" s="600"/>
      <c r="V285" s="1216"/>
      <c r="W285" s="1216"/>
      <c r="X285" s="1216"/>
      <c r="Y285" s="1216"/>
      <c r="Z285" s="1216"/>
      <c r="AA285" s="1688"/>
      <c r="AB285" s="622"/>
      <c r="AC285" s="622"/>
      <c r="AD285" s="622"/>
      <c r="AE285" s="622"/>
      <c r="AF285" s="1697">
        <v>11</v>
      </c>
    </row>
    <row s="3442" customFormat="1" customHeight="1" ht="11.549999999999999">
      <c r="A286" s="1043"/>
      <c r="B286" s="1692"/>
      <c r="C286" s="1692"/>
      <c r="D286" s="407"/>
      <c r="K286" s="1216"/>
      <c r="L286" s="1692"/>
      <c r="M286" s="1692"/>
      <c r="N286" s="1216"/>
      <c r="O286" s="1216"/>
      <c r="P286" s="1216"/>
      <c r="Q286" s="1216"/>
      <c r="R286" s="1692"/>
      <c r="S286" s="1216"/>
      <c r="T286" s="1216"/>
      <c r="U286" s="600"/>
      <c r="V286" s="1216"/>
      <c r="W286" s="1216"/>
      <c r="X286" s="1216"/>
      <c r="Y286" s="1216"/>
      <c r="Z286" s="1216"/>
      <c r="AA286" s="1688"/>
      <c r="AB286" s="622"/>
      <c r="AC286" s="622"/>
      <c r="AD286" s="622"/>
      <c r="AE286" s="622"/>
      <c r="AF286" s="1697">
        <v>11</v>
      </c>
    </row>
    <row s="3442" customFormat="1" customHeight="1" ht="11.549999999999999">
      <c r="A287" s="1043"/>
      <c r="B287" s="1692"/>
      <c r="C287" s="1692"/>
      <c r="D287" s="407"/>
      <c r="K287" s="1216"/>
      <c r="L287" s="1692"/>
      <c r="M287" s="1692"/>
      <c r="N287" s="1216"/>
      <c r="O287" s="1216"/>
      <c r="P287" s="1216"/>
      <c r="Q287" s="1216"/>
      <c r="R287" s="1692"/>
      <c r="S287" s="1216"/>
      <c r="T287" s="1216"/>
      <c r="U287" s="600"/>
      <c r="V287" s="1216"/>
      <c r="W287" s="1216"/>
      <c r="X287" s="1216"/>
      <c r="Y287" s="1216"/>
      <c r="Z287" s="1216"/>
      <c r="AA287" s="1688"/>
      <c r="AB287" s="622"/>
      <c r="AC287" s="622"/>
      <c r="AD287" s="622"/>
      <c r="AE287" s="622"/>
      <c r="AF287" s="1697">
        <v>11</v>
      </c>
    </row>
    <row s="3442" customFormat="1" customHeight="1" ht="11.549999999999999">
      <c r="A288" s="1043"/>
      <c r="B288" s="1692"/>
      <c r="C288" s="1692"/>
      <c r="D288" s="407"/>
      <c r="K288" s="1216"/>
      <c r="L288" s="1692"/>
      <c r="M288" s="1692"/>
      <c r="N288" s="1216"/>
      <c r="O288" s="1216"/>
      <c r="P288" s="1216"/>
      <c r="Q288" s="1216"/>
      <c r="R288" s="1692"/>
      <c r="S288" s="1216"/>
      <c r="T288" s="1216"/>
      <c r="U288" s="600"/>
      <c r="V288" s="1216"/>
      <c r="W288" s="1216"/>
      <c r="X288" s="1216"/>
      <c r="Y288" s="1216"/>
      <c r="Z288" s="1216"/>
      <c r="AA288" s="1688"/>
      <c r="AB288" s="622"/>
      <c r="AC288" s="622"/>
      <c r="AD288" s="622"/>
      <c r="AE288" s="622"/>
      <c r="AF288" s="1697">
        <v>11</v>
      </c>
    </row>
    <row customHeight="1" ht="11.549999999999999">
      <c r="AF289" s="1687">
        <v>11</v>
      </c>
    </row>
    <row customHeight="1" ht="11.549999999999999">
      <c r="AF290" s="1687">
        <v>11</v>
      </c>
    </row>
    <row customHeight="1" ht="11.549999999999999">
      <c r="AF291" s="1687">
        <v>11</v>
      </c>
    </row>
    <row customHeight="1" ht="11.549999999999999">
      <c r="A292" s="1046"/>
      <c r="B292" s="1687"/>
      <c r="D292" s="1687"/>
      <c r="K292" s="1687"/>
      <c r="N292" s="1687"/>
      <c r="O292" s="1687"/>
      <c r="P292" s="1687"/>
      <c r="Q292" s="1687"/>
      <c r="S292" s="1687"/>
      <c r="T292" s="1687"/>
      <c r="U292" s="1687"/>
      <c r="V292" s="1687"/>
      <c r="W292" s="1687"/>
      <c r="X292" s="1687"/>
      <c r="Y292" s="1687"/>
      <c r="Z292" s="1687"/>
      <c r="AA292" s="1687"/>
      <c r="AB292" s="1687"/>
      <c r="AC292" s="1687"/>
      <c r="AD292" s="1687"/>
      <c r="AE292" s="1687"/>
      <c r="AF292" s="1687">
        <v>11</v>
      </c>
    </row>
    <row customHeight="1" ht="11.549999999999999">
      <c r="A293" s="1046"/>
      <c r="B293" s="1687"/>
      <c r="D293" s="1687"/>
      <c r="K293" s="1687"/>
      <c r="N293" s="1687"/>
      <c r="O293" s="1687"/>
      <c r="P293" s="1687"/>
      <c r="Q293" s="1687"/>
      <c r="S293" s="1687"/>
      <c r="T293" s="1687"/>
      <c r="U293" s="1687"/>
      <c r="V293" s="1687"/>
      <c r="W293" s="1687"/>
      <c r="X293" s="1687"/>
      <c r="Y293" s="1687"/>
      <c r="Z293" s="1687"/>
      <c r="AA293" s="1687"/>
      <c r="AB293" s="1687"/>
      <c r="AC293" s="1687"/>
      <c r="AD293" s="1687"/>
      <c r="AE293" s="1687"/>
      <c r="AF293" s="1687">
        <v>11</v>
      </c>
    </row>
    <row customHeight="1" ht="11.549999999999999">
      <c r="A294" s="1046"/>
      <c r="B294" s="1687"/>
      <c r="D294" s="1687"/>
      <c r="K294" s="1687"/>
      <c r="N294" s="1687"/>
      <c r="O294" s="1687"/>
      <c r="P294" s="1687"/>
      <c r="Q294" s="1687"/>
      <c r="S294" s="1687"/>
      <c r="T294" s="1687"/>
      <c r="U294" s="1687"/>
      <c r="V294" s="1687"/>
      <c r="W294" s="1687"/>
      <c r="X294" s="1687"/>
      <c r="Y294" s="1687"/>
      <c r="Z294" s="1687"/>
      <c r="AA294" s="1687"/>
      <c r="AB294" s="1687"/>
      <c r="AC294" s="1687"/>
      <c r="AD294" s="1687"/>
      <c r="AE294" s="1687"/>
      <c r="AF294" s="1687">
        <v>11</v>
      </c>
    </row>
    <row customHeight="1" ht="11.549999999999999">
      <c r="A295" s="1046"/>
      <c r="B295" s="1687"/>
      <c r="D295" s="1687"/>
      <c r="K295" s="1687"/>
      <c r="N295" s="1687"/>
      <c r="O295" s="1687"/>
      <c r="P295" s="1687"/>
      <c r="Q295" s="1687"/>
      <c r="S295" s="1687"/>
      <c r="T295" s="1687"/>
      <c r="U295" s="1687"/>
      <c r="V295" s="1687"/>
      <c r="W295" s="1687"/>
      <c r="X295" s="1687"/>
      <c r="Y295" s="1687"/>
      <c r="Z295" s="1687"/>
      <c r="AA295" s="1687"/>
      <c r="AB295" s="1687"/>
      <c r="AC295" s="1687"/>
      <c r="AD295" s="1687"/>
      <c r="AE295" s="1687"/>
      <c r="AF295" s="1687">
        <v>11</v>
      </c>
    </row>
    <row customHeight="1" ht="11.549999999999999">
      <c r="A296" s="1046"/>
      <c r="B296" s="1687"/>
      <c r="D296" s="1687"/>
      <c r="K296" s="1687"/>
      <c r="N296" s="1687"/>
      <c r="O296" s="1687"/>
      <c r="P296" s="1687"/>
      <c r="Q296" s="1687"/>
      <c r="S296" s="1687"/>
      <c r="T296" s="1687"/>
      <c r="U296" s="1687"/>
      <c r="V296" s="1687"/>
      <c r="W296" s="1687"/>
      <c r="X296" s="1687"/>
      <c r="Y296" s="1687"/>
      <c r="Z296" s="1687"/>
      <c r="AA296" s="1687"/>
      <c r="AB296" s="1687"/>
      <c r="AC296" s="1687"/>
      <c r="AD296" s="1687"/>
      <c r="AE296" s="1687"/>
      <c r="AF296" s="1687">
        <v>11</v>
      </c>
    </row>
    <row customHeight="1" ht="11.549999999999999">
      <c r="A297" s="1046"/>
      <c r="B297" s="1687"/>
      <c r="D297" s="1687"/>
      <c r="K297" s="1687"/>
      <c r="N297" s="1687"/>
      <c r="O297" s="1687"/>
      <c r="P297" s="1687"/>
      <c r="Q297" s="1687"/>
      <c r="S297" s="1687"/>
      <c r="T297" s="1687"/>
      <c r="U297" s="1687"/>
      <c r="V297" s="1687"/>
      <c r="W297" s="1687"/>
      <c r="X297" s="1687"/>
      <c r="Y297" s="1687"/>
      <c r="Z297" s="1687"/>
      <c r="AA297" s="1687"/>
      <c r="AB297" s="1687"/>
      <c r="AC297" s="1687"/>
      <c r="AD297" s="1687"/>
      <c r="AE297" s="1687"/>
      <c r="AF297" s="1687">
        <v>11</v>
      </c>
    </row>
    <row customHeight="1" ht="11.549999999999999">
      <c r="A298" s="1046"/>
      <c r="B298" s="1687"/>
      <c r="D298" s="1687"/>
      <c r="K298" s="1687"/>
      <c r="N298" s="1687"/>
      <c r="O298" s="1687"/>
      <c r="P298" s="1687"/>
      <c r="Q298" s="1687"/>
      <c r="S298" s="1687"/>
      <c r="T298" s="1687"/>
      <c r="U298" s="1687"/>
      <c r="V298" s="1687"/>
      <c r="W298" s="1687"/>
      <c r="X298" s="1687"/>
      <c r="Y298" s="1687"/>
      <c r="Z298" s="1687"/>
      <c r="AA298" s="1687"/>
      <c r="AB298" s="1687"/>
      <c r="AC298" s="1687"/>
      <c r="AD298" s="1687"/>
      <c r="AE298" s="1687"/>
      <c r="AF298" s="1687">
        <v>11</v>
      </c>
    </row>
    <row customHeight="1" ht="11.549999999999999">
      <c r="A299" s="1046"/>
      <c r="B299" s="1687"/>
      <c r="D299" s="1687"/>
      <c r="K299" s="1687"/>
      <c r="N299" s="1687"/>
      <c r="O299" s="1687"/>
      <c r="P299" s="1687"/>
      <c r="Q299" s="1687"/>
      <c r="S299" s="1687"/>
      <c r="T299" s="1687"/>
      <c r="U299" s="1687"/>
      <c r="V299" s="1687"/>
      <c r="W299" s="1687"/>
      <c r="X299" s="1687"/>
      <c r="Y299" s="1687"/>
      <c r="Z299" s="1687"/>
      <c r="AA299" s="1687"/>
      <c r="AB299" s="1687"/>
      <c r="AC299" s="1687"/>
      <c r="AD299" s="1687"/>
      <c r="AE299" s="1687"/>
      <c r="AF299" s="1687">
        <v>11</v>
      </c>
    </row>
    <row customHeight="1" ht="11.549999999999999">
      <c r="A300" s="1046"/>
      <c r="B300" s="1687"/>
      <c r="D300" s="1687"/>
      <c r="K300" s="1687"/>
      <c r="N300" s="1687"/>
      <c r="O300" s="1687"/>
      <c r="P300" s="1687"/>
      <c r="Q300" s="1687"/>
      <c r="S300" s="1687"/>
      <c r="T300" s="1687"/>
      <c r="U300" s="1687"/>
      <c r="V300" s="1687"/>
      <c r="W300" s="1687"/>
      <c r="X300" s="1687"/>
      <c r="Y300" s="1687"/>
      <c r="Z300" s="1687"/>
      <c r="AA300" s="1687"/>
      <c r="AB300" s="1687"/>
      <c r="AC300" s="1687"/>
      <c r="AD300" s="1687"/>
      <c r="AE300" s="1687"/>
      <c r="AF300" s="1687">
        <v>11</v>
      </c>
    </row>
    <row customHeight="1" ht="11.549999999999999">
      <c r="A301" s="1046"/>
      <c r="B301" s="1687"/>
      <c r="D301" s="1687"/>
      <c r="K301" s="1687"/>
      <c r="N301" s="1687"/>
      <c r="O301" s="1687"/>
      <c r="P301" s="1687"/>
      <c r="Q301" s="1687"/>
      <c r="S301" s="1687"/>
      <c r="T301" s="1687"/>
      <c r="U301" s="1687"/>
      <c r="V301" s="1687"/>
      <c r="W301" s="1687"/>
      <c r="X301" s="1687"/>
      <c r="Y301" s="1687"/>
      <c r="Z301" s="1687"/>
      <c r="AA301" s="1687"/>
      <c r="AB301" s="1687"/>
      <c r="AC301" s="1687"/>
      <c r="AD301" s="1687"/>
      <c r="AE301" s="1687"/>
      <c r="AF301" s="1687">
        <v>11</v>
      </c>
    </row>
    <row customHeight="1" ht="11.549999999999999">
      <c r="A302" s="1046"/>
      <c r="B302" s="1687"/>
      <c r="D302" s="1687"/>
      <c r="K302" s="1687"/>
      <c r="N302" s="1687"/>
      <c r="O302" s="1687"/>
      <c r="P302" s="1687"/>
      <c r="Q302" s="1687"/>
      <c r="S302" s="1687"/>
      <c r="T302" s="1687"/>
      <c r="U302" s="1687"/>
      <c r="V302" s="1687"/>
      <c r="W302" s="1687"/>
      <c r="X302" s="1687"/>
      <c r="Y302" s="1687"/>
      <c r="Z302" s="1687"/>
      <c r="AA302" s="1687"/>
      <c r="AB302" s="1687"/>
      <c r="AC302" s="1687"/>
      <c r="AD302" s="1687"/>
      <c r="AE302" s="1687"/>
      <c r="AF302" s="1687">
        <v>11</v>
      </c>
    </row>
    <row customHeight="1" ht="11.25" hidden="1">
      <c r="A303" s="1043" t="s">
        <v>86</v>
      </c>
      <c r="B303" s="1216">
        <v>0</v>
      </c>
      <c r="C303" s="1692">
        <v>0</v>
      </c>
      <c r="D303" s="1691">
        <v>3</v>
      </c>
      <c r="E303" s="1687">
        <v>7</v>
      </c>
      <c r="F303" s="1687">
        <v>54</v>
      </c>
      <c r="G303" s="1687">
        <v>10</v>
      </c>
      <c r="H303" s="1687">
        <v>0</v>
      </c>
      <c r="I303" s="1687">
        <v>40</v>
      </c>
      <c r="J303" s="1687">
        <v>102</v>
      </c>
      <c r="K303" s="1216">
        <v>9</v>
      </c>
      <c r="L303" s="1692">
        <v>5</v>
      </c>
      <c r="M303" s="1692">
        <v>3</v>
      </c>
      <c r="N303" s="1216">
        <v>3</v>
      </c>
      <c r="O303" s="1216">
        <v>3</v>
      </c>
      <c r="P303" s="1216">
        <v>3</v>
      </c>
      <c r="Q303" s="1216">
        <v>3</v>
      </c>
      <c r="R303" s="1692">
        <v>10</v>
      </c>
      <c r="S303" s="1216">
        <v>34</v>
      </c>
      <c r="T303" s="1216">
        <v>9</v>
      </c>
      <c r="U303" s="600">
        <v>8</v>
      </c>
      <c r="V303" s="1216">
        <v>8</v>
      </c>
      <c r="W303" s="1216">
        <v>8</v>
      </c>
      <c r="X303" s="1216">
        <v>8</v>
      </c>
      <c r="Y303" s="1216">
        <v>8</v>
      </c>
      <c r="Z303" s="1216">
        <v>8</v>
      </c>
      <c r="AA303" s="1688">
        <v>8</v>
      </c>
      <c r="AB303" s="1688">
        <v>8</v>
      </c>
      <c r="AC303" s="1688">
        <v>8</v>
      </c>
      <c r="AD303" s="1688">
        <v>8</v>
      </c>
      <c r="AE303" s="1688">
        <v>8</v>
      </c>
      <c r="AF303" s="1687">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3D751C-CEA9-2971-F8B1-5A59D6075C95}"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12523" width="14.7109375" hidden="1" customWidth="1"/>
    <col min="2" max="2" style="2738" width="17.00390625" hidden="1" customWidth="1"/>
    <col min="3" max="3" style="2774" width="3.00390625" customWidth="1"/>
    <col min="4" max="4" style="2774" width="1.8515625" hidden="1" customWidth="1"/>
    <col min="5" max="6" style="2774" width="7.00390625" customWidth="1"/>
    <col min="7" max="7" style="2774" width="29.00390625" customWidth="1"/>
    <col min="8" max="8" style="2774" width="3.7109375" customWidth="1"/>
    <col min="9" max="9" style="2774" width="5.00390625" customWidth="1"/>
    <col min="10" max="11" style="2774" width="24.00390625" customWidth="1"/>
    <col min="12" max="12" style="2774" width="3.00390625" customWidth="1"/>
    <col min="13" max="13" style="2774" width="6.00390625" customWidth="1"/>
    <col min="14" max="14" style="2774" width="25.00390625" customWidth="1"/>
    <col min="15" max="18" style="2774" width="18.00390625" customWidth="1"/>
    <col min="19" max="19" style="2774" width="93.00390625" customWidth="1"/>
    <col min="20" max="20" style="2774" width="10.00390625" customWidth="1"/>
    <col min="21" max="21" style="2851" width="10.00390625" customWidth="1"/>
    <col min="22" max="22" style="2851" width="11.00390625" customWidth="1"/>
    <col min="23" max="27" style="2738" width="10.00390625" customWidth="1"/>
    <col min="28" max="83" style="2774" width="8.00390625" customWidth="1"/>
    <col min="84" max="84" style="2774" width="9.140625" hidden="1"/>
  </cols>
  <sheetData>
    <row customHeight="1" ht="22.5" hidden="1">
      <c r="CF1" s="561" t="s">
        <v>14</v>
      </c>
    </row>
    <row customHeight="1" ht="11.25" hidden="1">
      <c r="CF2" s="561">
        <v>0</v>
      </c>
    </row>
    <row customHeight="1" ht="11.25" hidden="1">
      <c r="CF3" s="561">
        <v>0</v>
      </c>
    </row>
    <row customHeight="1" ht="3">
      <c r="C4" s="565"/>
      <c r="D4" s="565"/>
      <c r="E4" s="565"/>
      <c r="F4" s="565"/>
      <c r="G4" s="565"/>
      <c r="H4" s="565"/>
      <c r="I4" s="565"/>
      <c r="J4" s="565"/>
      <c r="K4" s="222"/>
      <c r="L4" s="222"/>
      <c r="M4" s="222"/>
      <c r="CF4" s="561">
        <v>3</v>
      </c>
    </row>
    <row customHeight="1" ht="29.25">
      <c r="C5" s="565"/>
      <c r="D5" s="1113"/>
      <c r="E5" s="229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93"/>
      <c r="G5" s="2293"/>
      <c r="H5" s="2293"/>
      <c r="I5" s="2293"/>
      <c r="J5" s="2293"/>
      <c r="K5" s="2293"/>
      <c r="L5" s="669"/>
      <c r="M5" s="669"/>
      <c r="CF5" s="561">
        <v>28</v>
      </c>
    </row>
    <row s="2774" customFormat="1" customHeight="1" ht="16.8">
      <c r="A6" s="666"/>
      <c r="B6" s="815"/>
      <c r="C6" s="565"/>
      <c r="D6" s="1114"/>
      <c r="E6" s="2232" t="str">
        <f>IF(org=0,"Не определено",org)</f>
        <v>МУП ЖКХ "Родник"</v>
      </c>
      <c r="F6" s="2232"/>
      <c r="G6" s="2232"/>
      <c r="H6" s="2232"/>
      <c r="I6" s="2232"/>
      <c r="J6" s="2232"/>
      <c r="K6" s="2232"/>
      <c r="L6" s="669"/>
      <c r="M6" s="669"/>
      <c r="U6" s="667"/>
      <c r="V6" s="667"/>
      <c r="W6" s="668"/>
      <c r="X6" s="815"/>
      <c r="Y6" s="815"/>
      <c r="Z6" s="815"/>
      <c r="AA6" s="815"/>
      <c r="CF6" s="814">
        <v>16</v>
      </c>
    </row>
    <row customHeight="1" ht="11.549999999999999">
      <c r="C7" s="565"/>
      <c r="D7" s="565"/>
      <c r="E7" s="565"/>
      <c r="F7" s="565"/>
      <c r="G7" s="578"/>
      <c r="H7" s="578"/>
      <c r="I7" s="578"/>
      <c r="J7" s="578"/>
      <c r="K7" s="670"/>
      <c r="L7" s="670"/>
      <c r="M7" s="670"/>
      <c r="R7" s="808"/>
      <c r="CF7" s="561">
        <v>11</v>
      </c>
    </row>
    <row s="3442" customFormat="1" customHeight="1" ht="4.2">
      <c r="A8" s="677"/>
      <c r="B8" s="622"/>
      <c r="C8" s="407"/>
      <c r="D8" s="407"/>
      <c r="E8" s="407"/>
      <c r="F8" s="407"/>
      <c r="G8" s="1031"/>
      <c r="H8" s="1031"/>
      <c r="I8" s="1031"/>
      <c r="J8" s="1031"/>
      <c r="K8" s="1074"/>
      <c r="L8" s="1074"/>
      <c r="M8" s="1074"/>
      <c r="R8" s="1075"/>
      <c r="U8" s="667"/>
      <c r="V8" s="667"/>
      <c r="W8" s="678"/>
      <c r="X8" s="622"/>
      <c r="Y8" s="622"/>
      <c r="Z8" s="622"/>
      <c r="AA8" s="622"/>
      <c r="CF8" s="552">
        <v>4</v>
      </c>
    </row>
    <row customHeight="1" ht="19.95">
      <c r="D9" s="345"/>
      <c r="E9" s="2157" t="s">
        <v>432</v>
      </c>
      <c r="F9" s="2158"/>
      <c r="G9" s="2158"/>
      <c r="H9" s="2158"/>
      <c r="I9" s="2158"/>
      <c r="J9" s="2158"/>
      <c r="K9" s="2158"/>
      <c r="L9" s="2158"/>
      <c r="M9" s="2158"/>
      <c r="N9" s="2158"/>
      <c r="O9" s="2158"/>
      <c r="P9" s="2158"/>
      <c r="Q9" s="2158"/>
      <c r="R9" s="2159"/>
      <c r="S9" s="2183" t="s">
        <v>433</v>
      </c>
      <c r="T9" s="390"/>
      <c r="CF9" s="561">
        <v>19</v>
      </c>
    </row>
    <row customHeight="1" ht="48.29999999999999">
      <c r="D10" s="607" t="s">
        <v>92</v>
      </c>
      <c r="E10" s="2183" t="s">
        <v>92</v>
      </c>
      <c r="F10" s="2183"/>
      <c r="G10" s="577" t="s">
        <v>434</v>
      </c>
      <c r="H10" s="2183" t="s">
        <v>92</v>
      </c>
      <c r="I10" s="2183"/>
      <c r="J10" s="577" t="s">
        <v>735</v>
      </c>
      <c r="K10" s="577" t="s">
        <v>736</v>
      </c>
      <c r="L10" s="2183" t="s">
        <v>92</v>
      </c>
      <c r="M10" s="2183"/>
      <c r="N10" s="577" t="s">
        <v>737</v>
      </c>
      <c r="O10" s="577" t="s">
        <v>738</v>
      </c>
      <c r="P10" s="577" t="s">
        <v>739</v>
      </c>
      <c r="Q10" s="577" t="s">
        <v>740</v>
      </c>
      <c r="R10" s="577" t="s">
        <v>741</v>
      </c>
      <c r="S10" s="2183"/>
      <c r="T10" s="390"/>
      <c r="CF10" s="561">
        <v>46</v>
      </c>
    </row>
    <row s="2851" customFormat="1" customHeight="1" ht="15" hidden="1">
      <c r="A11" s="1108"/>
      <c r="D11" s="1081" t="s">
        <v>191</v>
      </c>
      <c r="E11" s="1081"/>
      <c r="F11" s="1081" t="s">
        <v>108</v>
      </c>
      <c r="G11" s="1081" t="s">
        <v>94</v>
      </c>
      <c r="H11" s="1081"/>
      <c r="I11" s="1081" t="s">
        <v>95</v>
      </c>
      <c r="J11" s="1081" t="s">
        <v>122</v>
      </c>
      <c r="K11" s="1081" t="s">
        <v>96</v>
      </c>
      <c r="L11" s="1081"/>
      <c r="M11" s="1081" t="s">
        <v>97</v>
      </c>
      <c r="N11" s="1081" t="s">
        <v>135</v>
      </c>
      <c r="O11" s="1081" t="s">
        <v>140</v>
      </c>
      <c r="P11" s="1081" t="s">
        <v>145</v>
      </c>
      <c r="Q11" s="1081" t="s">
        <v>150</v>
      </c>
      <c r="R11" s="1081" t="s">
        <v>155</v>
      </c>
      <c r="S11" s="1081" t="s">
        <v>160</v>
      </c>
      <c r="U11" s="667"/>
      <c r="V11" s="667"/>
      <c r="W11" s="667"/>
      <c r="CF11" s="567">
        <v>0</v>
      </c>
    </row>
    <row s="2774" customFormat="1" customHeight="1" ht="1.05">
      <c r="A12" s="671"/>
      <c r="B12" s="418"/>
      <c r="D12" s="604"/>
      <c r="E12" s="402"/>
      <c r="F12" s="402"/>
      <c r="Q12" s="672"/>
      <c r="R12" s="673"/>
      <c r="T12" s="674"/>
      <c r="U12" s="675"/>
      <c r="V12" s="675"/>
      <c r="W12" s="676"/>
      <c r="X12" s="418"/>
      <c r="Y12" s="418"/>
      <c r="Z12" s="418"/>
      <c r="AA12" s="418"/>
      <c r="CF12" s="565">
        <v>1</v>
      </c>
    </row>
    <row s="3442" customFormat="1" customHeight="1" ht="1.05">
      <c r="A13" s="677"/>
      <c r="B13" s="622"/>
      <c r="D13" s="604" t="s">
        <v>508</v>
      </c>
      <c r="E13" s="616"/>
      <c r="F13" s="616"/>
      <c r="G13" s="616"/>
      <c r="H13" s="616"/>
      <c r="I13" s="616"/>
      <c r="J13" s="616"/>
      <c r="K13" s="616"/>
      <c r="L13" s="616"/>
      <c r="M13" s="616"/>
      <c r="N13" s="616"/>
      <c r="O13" s="616"/>
      <c r="P13" s="616"/>
      <c r="Q13" s="616"/>
      <c r="R13" s="616"/>
      <c r="T13" s="390"/>
      <c r="U13" s="667"/>
      <c r="V13" s="667"/>
      <c r="W13" s="678"/>
      <c r="X13" s="622"/>
      <c r="Y13" s="622"/>
      <c r="Z13" s="622"/>
      <c r="AA13" s="622"/>
      <c r="CF13" s="552">
        <v>1</v>
      </c>
    </row>
    <row s="2911" customFormat="1" customHeight="1" ht="15" hidden="1">
      <c r="A14" s="679" t="s">
        <v>196</v>
      </c>
      <c r="B14" s="680"/>
      <c r="C14" s="680"/>
      <c r="D14" s="2436" t="s">
        <v>191</v>
      </c>
      <c r="E14" s="2433" t="s">
        <v>187</v>
      </c>
      <c r="F14" s="2434"/>
      <c r="G14" s="2435"/>
      <c r="H14" s="2439">
        <f>IF(A14="","",INDEX(DIFFERENTIATION_UNMERGE_VD,MATCH(A14,DIFFERENTIATION_ID_DIFF,0)))</f>
        <v>0</v>
      </c>
      <c r="I14" s="2439"/>
      <c r="J14" s="2439"/>
      <c r="K14" s="2439"/>
      <c r="L14" s="2439"/>
      <c r="M14" s="2439"/>
      <c r="N14" s="2439"/>
      <c r="O14" s="2439"/>
      <c r="P14" s="2439"/>
      <c r="Q14" s="2439"/>
      <c r="R14" s="2439"/>
      <c r="S14" s="775"/>
      <c r="T14" s="772"/>
      <c r="U14" s="681"/>
      <c r="V14" s="681"/>
      <c r="W14" s="682"/>
      <c r="X14" s="682"/>
      <c r="Y14" s="682"/>
      <c r="Z14" s="682"/>
      <c r="AA14" s="683"/>
      <c r="AB14" s="684"/>
      <c r="AC14" s="2431"/>
      <c r="AD14" s="685"/>
      <c r="AE14" s="686" t="s">
        <v>28</v>
      </c>
      <c r="AF14" s="686"/>
      <c r="AG14" s="687" t="s">
        <v>742</v>
      </c>
      <c r="AH14" s="688">
        <v>3</v>
      </c>
      <c r="AI14" s="681"/>
      <c r="AJ14" s="681"/>
      <c r="AK14" s="681"/>
      <c r="AL14" s="681"/>
      <c r="AM14" s="681"/>
      <c r="AN14" s="681"/>
      <c r="AO14" s="681"/>
      <c r="AP14" s="681"/>
      <c r="AQ14" s="681"/>
      <c r="AR14" s="681"/>
      <c r="AS14" s="681"/>
      <c r="AT14" s="681"/>
      <c r="AU14" s="681"/>
      <c r="AV14" s="681"/>
      <c r="AW14" s="681"/>
      <c r="AX14" s="681"/>
      <c r="AY14" s="681"/>
      <c r="AZ14" s="681"/>
      <c r="BA14" s="681"/>
      <c r="BB14" s="681"/>
      <c r="BC14" s="681"/>
      <c r="BD14" s="681"/>
      <c r="BE14" s="681"/>
      <c r="BF14" s="681"/>
      <c r="BG14" s="681"/>
      <c r="BH14" s="681"/>
      <c r="BI14" s="681"/>
      <c r="BJ14" s="681"/>
      <c r="BK14" s="681"/>
      <c r="BL14" s="681"/>
      <c r="BM14" s="681"/>
      <c r="BN14" s="681"/>
      <c r="BO14" s="681"/>
      <c r="BP14" s="681"/>
      <c r="BQ14" s="681"/>
      <c r="BR14" s="681"/>
      <c r="BS14" s="681"/>
      <c r="BT14" s="681"/>
      <c r="BU14" s="681"/>
      <c r="BV14" s="682"/>
      <c r="BW14" s="682"/>
      <c r="BX14" s="682"/>
      <c r="BY14" s="682"/>
      <c r="BZ14" s="682"/>
      <c r="CA14" s="682"/>
      <c r="CB14" s="682"/>
      <c r="CC14" s="682"/>
      <c r="CD14" s="682"/>
      <c r="CE14" s="682"/>
      <c r="CF14" s="349">
        <v>0</v>
      </c>
    </row>
    <row s="2911" customFormat="1" customHeight="1" ht="15" hidden="1">
      <c r="A15" s="679"/>
      <c r="B15" s="680"/>
      <c r="C15" s="680"/>
      <c r="D15" s="2437"/>
      <c r="E15" s="2433" t="s">
        <v>697</v>
      </c>
      <c r="F15" s="2434"/>
      <c r="G15" s="2435"/>
      <c r="H15" s="2439" t="str">
        <f>IF(A14="","",INDEX(DIFFERENTIATION_UNMERGE_AREA,MATCH(A14,DIFFERENTIATION_ID_DIFF,0)))</f>
        <v/>
      </c>
      <c r="I15" s="2439"/>
      <c r="J15" s="2439"/>
      <c r="K15" s="2439"/>
      <c r="L15" s="2439"/>
      <c r="M15" s="2439"/>
      <c r="N15" s="2439"/>
      <c r="O15" s="2439"/>
      <c r="P15" s="2439"/>
      <c r="Q15" s="2439"/>
      <c r="R15" s="2439"/>
      <c r="S15" s="775"/>
      <c r="T15" s="772"/>
      <c r="U15" s="681"/>
      <c r="V15" s="681"/>
      <c r="W15" s="682"/>
      <c r="X15" s="682"/>
      <c r="Y15" s="682"/>
      <c r="Z15" s="682"/>
      <c r="AA15" s="683"/>
      <c r="AB15" s="684"/>
      <c r="AC15" s="2431"/>
      <c r="AD15" s="685"/>
      <c r="AE15" s="686"/>
      <c r="AF15" s="686"/>
      <c r="AG15" s="687"/>
      <c r="AH15" s="688"/>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2"/>
      <c r="BW15" s="682"/>
      <c r="BX15" s="682"/>
      <c r="BY15" s="682"/>
      <c r="BZ15" s="682"/>
      <c r="CA15" s="682"/>
      <c r="CB15" s="682"/>
      <c r="CC15" s="682"/>
      <c r="CD15" s="682"/>
      <c r="CE15" s="682"/>
      <c r="CF15" s="349">
        <v>0</v>
      </c>
    </row>
    <row s="2911" customFormat="1" customHeight="1" ht="15" hidden="1">
      <c r="A16" s="679"/>
      <c r="B16" s="680"/>
      <c r="C16" s="680"/>
      <c r="D16" s="2437"/>
      <c r="E16" s="2433" t="s">
        <v>698</v>
      </c>
      <c r="F16" s="2434"/>
      <c r="G16" s="2435"/>
      <c r="H16" s="2439" t="str">
        <f>IF(A14="","",INDEX(DIFFERENTIATION_UNMERGE_SYSTEM,MATCH(A14,DIFFERENTIATION_ID_DIFF,0)))</f>
        <v>без дифференциации</v>
      </c>
      <c r="I16" s="2439"/>
      <c r="J16" s="2439"/>
      <c r="K16" s="2439"/>
      <c r="L16" s="2439"/>
      <c r="M16" s="2439"/>
      <c r="N16" s="2439"/>
      <c r="O16" s="2439"/>
      <c r="P16" s="2439"/>
      <c r="Q16" s="2439"/>
      <c r="R16" s="2439"/>
      <c r="S16" s="775"/>
      <c r="T16" s="772"/>
      <c r="U16" s="681"/>
      <c r="V16" s="681"/>
      <c r="W16" s="682"/>
      <c r="X16" s="682"/>
      <c r="Y16" s="682"/>
      <c r="Z16" s="682"/>
      <c r="AA16" s="683"/>
      <c r="AB16" s="684"/>
      <c r="AC16" s="2431"/>
      <c r="AD16" s="685"/>
      <c r="AE16" s="686"/>
      <c r="AF16" s="686"/>
      <c r="AG16" s="687"/>
      <c r="AH16" s="688"/>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2"/>
      <c r="BW16" s="682"/>
      <c r="BX16" s="682"/>
      <c r="BY16" s="682"/>
      <c r="BZ16" s="682"/>
      <c r="CA16" s="682"/>
      <c r="CB16" s="682"/>
      <c r="CC16" s="682"/>
      <c r="CD16" s="682"/>
      <c r="CE16" s="682"/>
      <c r="CF16" s="349">
        <v>0</v>
      </c>
    </row>
    <row s="2911" customFormat="1" customHeight="1" ht="22.5" hidden="1">
      <c r="A17" s="689"/>
      <c r="B17" s="473"/>
      <c r="C17" s="468"/>
      <c r="D17" s="2437"/>
      <c r="E17" s="2432" t="s">
        <v>743</v>
      </c>
      <c r="F17" s="2432"/>
      <c r="G17" s="2432"/>
      <c r="H17" s="2432"/>
      <c r="I17" s="2432"/>
      <c r="J17" s="2432"/>
      <c r="K17" s="2432"/>
      <c r="L17" s="2432"/>
      <c r="M17" s="2432"/>
      <c r="N17" s="2432"/>
      <c r="O17" s="2432"/>
      <c r="P17" s="2432"/>
      <c r="Q17" s="614">
        <f>SUMIF(T18:T19,"i",Q18:Q19)</f>
        <v>0</v>
      </c>
      <c r="R17" s="1073"/>
      <c r="S17" s="953" t="s">
        <v>744</v>
      </c>
      <c r="T17" s="773" t="s">
        <v>745</v>
      </c>
      <c r="U17" s="2430">
        <v>1</v>
      </c>
      <c r="V17" s="2430" t="str">
        <f>INDEX(B_FHD_FLAG_INDEX_1,1,MATCH(A14,B_FHD_FLAG_DIFFERENTIATION,0))</f>
        <v>отсутствует</v>
      </c>
      <c r="W17" s="473"/>
      <c r="X17" s="473"/>
      <c r="Y17" s="473"/>
      <c r="Z17" s="473"/>
      <c r="AA17" s="567"/>
      <c r="AB17" s="473"/>
      <c r="AC17" s="2431"/>
      <c r="AD17" s="685"/>
      <c r="AE17" s="473"/>
      <c r="AF17" s="473"/>
      <c r="AG17" s="567"/>
      <c r="AH17" s="567"/>
      <c r="AI17" s="567"/>
      <c r="AJ17" s="567"/>
      <c r="AK17" s="567"/>
      <c r="AL17" s="567"/>
      <c r="AM17" s="567"/>
      <c r="AN17" s="567"/>
      <c r="AO17" s="567"/>
      <c r="AP17" s="567"/>
      <c r="AQ17" s="567"/>
      <c r="AR17" s="567"/>
      <c r="AS17" s="567"/>
      <c r="AT17" s="567"/>
      <c r="AU17" s="567"/>
      <c r="AV17" s="567"/>
      <c r="AW17" s="567"/>
      <c r="AX17" s="567"/>
      <c r="AY17" s="567"/>
      <c r="AZ17" s="567"/>
      <c r="BA17" s="567"/>
      <c r="BB17" s="567"/>
      <c r="BC17" s="567"/>
      <c r="BD17" s="567"/>
      <c r="BE17" s="567"/>
      <c r="BF17" s="567"/>
      <c r="BG17" s="567"/>
      <c r="BH17" s="567"/>
      <c r="BI17" s="567"/>
      <c r="BJ17" s="567"/>
      <c r="BK17" s="567"/>
      <c r="BL17" s="567"/>
      <c r="BM17" s="567"/>
      <c r="BN17" s="567"/>
      <c r="BO17" s="567"/>
      <c r="BP17" s="567"/>
      <c r="BQ17" s="567"/>
      <c r="BR17" s="567"/>
      <c r="BS17" s="567"/>
      <c r="BT17" s="567"/>
      <c r="BU17" s="567"/>
      <c r="BV17" s="473"/>
      <c r="BW17" s="473"/>
      <c r="BX17" s="473"/>
      <c r="BY17" s="473"/>
      <c r="BZ17" s="473"/>
      <c r="CA17" s="473"/>
      <c r="CB17" s="473"/>
      <c r="CC17" s="473"/>
      <c r="CD17" s="473"/>
      <c r="CE17" s="473"/>
      <c r="CF17" s="349">
        <v>0</v>
      </c>
    </row>
    <row s="2911" customFormat="1" customHeight="1" ht="11.25" hidden="1">
      <c r="A18" s="690"/>
      <c r="B18" s="567"/>
      <c r="C18" s="567"/>
      <c r="D18" s="2437"/>
      <c r="E18" s="691"/>
      <c r="F18" s="691">
        <v>0</v>
      </c>
      <c r="G18" s="691"/>
      <c r="H18" s="691"/>
      <c r="I18" s="691"/>
      <c r="J18" s="691"/>
      <c r="K18" s="691"/>
      <c r="L18" s="691"/>
      <c r="M18" s="691"/>
      <c r="N18" s="691"/>
      <c r="O18" s="691"/>
      <c r="P18" s="691"/>
      <c r="Q18" s="691"/>
      <c r="R18" s="691"/>
      <c r="S18" s="692"/>
      <c r="T18" s="774"/>
      <c r="U18" s="2430"/>
      <c r="V18" s="2430"/>
      <c r="W18" s="567"/>
      <c r="X18" s="567"/>
      <c r="Y18" s="567"/>
      <c r="Z18" s="567"/>
      <c r="AA18" s="567"/>
      <c r="AB18" s="473"/>
      <c r="AC18" s="2431"/>
      <c r="AD18" s="685"/>
      <c r="AE18" s="473"/>
      <c r="AF18" s="473"/>
      <c r="AG18" s="567"/>
      <c r="AH18" s="567"/>
      <c r="AI18" s="567"/>
      <c r="AJ18" s="567"/>
      <c r="AK18" s="567"/>
      <c r="AL18" s="567"/>
      <c r="AM18" s="567"/>
      <c r="AN18" s="567"/>
      <c r="AO18" s="567"/>
      <c r="AP18" s="567"/>
      <c r="AQ18" s="567"/>
      <c r="AR18" s="567"/>
      <c r="AS18" s="567"/>
      <c r="AT18" s="567"/>
      <c r="AU18" s="567"/>
      <c r="AV18" s="567"/>
      <c r="AW18" s="567"/>
      <c r="AX18" s="567"/>
      <c r="AY18" s="567"/>
      <c r="AZ18" s="567"/>
      <c r="BA18" s="567"/>
      <c r="BB18" s="567"/>
      <c r="BC18" s="567"/>
      <c r="BD18" s="567"/>
      <c r="BE18" s="567"/>
      <c r="BF18" s="567"/>
      <c r="BG18" s="567"/>
      <c r="BH18" s="567"/>
      <c r="BI18" s="567"/>
      <c r="BJ18" s="567"/>
      <c r="BK18" s="567"/>
      <c r="BL18" s="567"/>
      <c r="BM18" s="567"/>
      <c r="BN18" s="567"/>
      <c r="BO18" s="567"/>
      <c r="BP18" s="567"/>
      <c r="BQ18" s="567"/>
      <c r="BR18" s="567"/>
      <c r="BS18" s="567"/>
      <c r="BT18" s="567"/>
      <c r="BU18" s="567"/>
      <c r="BV18" s="567"/>
      <c r="BW18" s="567"/>
      <c r="BX18" s="567"/>
      <c r="BY18" s="567"/>
      <c r="BZ18" s="567"/>
      <c r="CA18" s="567"/>
      <c r="CB18" s="567"/>
      <c r="CC18" s="567"/>
      <c r="CD18" s="567"/>
      <c r="CE18" s="567"/>
      <c r="CF18" s="349">
        <v>0</v>
      </c>
    </row>
    <row s="2911" customFormat="1" customHeight="1" ht="11.25" hidden="1">
      <c r="A19" s="689"/>
      <c r="B19" s="473"/>
      <c r="C19" s="468"/>
      <c r="D19" s="2437"/>
      <c r="E19" s="705" t="s">
        <v>28</v>
      </c>
      <c r="F19" s="706" t="s">
        <v>28</v>
      </c>
      <c r="G19" s="706" t="s">
        <v>28</v>
      </c>
      <c r="H19" s="707" t="s">
        <v>28</v>
      </c>
      <c r="I19" s="707"/>
      <c r="J19" s="707"/>
      <c r="K19" s="707"/>
      <c r="L19" s="707"/>
      <c r="M19" s="707"/>
      <c r="N19" s="707"/>
      <c r="O19" s="707"/>
      <c r="P19" s="707"/>
      <c r="Q19" s="707"/>
      <c r="R19" s="708"/>
      <c r="S19" s="1076"/>
      <c r="T19" s="774"/>
      <c r="U19" s="2430"/>
      <c r="V19" s="2430"/>
      <c r="W19" s="473"/>
      <c r="X19" s="473"/>
      <c r="Y19" s="473"/>
      <c r="Z19" s="473"/>
      <c r="AA19" s="567"/>
      <c r="AB19" s="473"/>
      <c r="AC19" s="2431"/>
      <c r="AD19" s="685"/>
      <c r="AE19" s="473"/>
      <c r="AF19" s="473"/>
      <c r="AG19" s="567"/>
      <c r="AH19" s="567"/>
      <c r="AI19" s="567"/>
      <c r="AJ19" s="567"/>
      <c r="AK19" s="567"/>
      <c r="AL19" s="567"/>
      <c r="AM19" s="567"/>
      <c r="AN19" s="567"/>
      <c r="AO19" s="567"/>
      <c r="AP19" s="567"/>
      <c r="AQ19" s="567"/>
      <c r="AR19" s="567"/>
      <c r="AS19" s="567"/>
      <c r="AT19" s="567"/>
      <c r="AU19" s="567"/>
      <c r="AV19" s="567"/>
      <c r="AW19" s="567"/>
      <c r="AX19" s="567"/>
      <c r="AY19" s="567"/>
      <c r="AZ19" s="567"/>
      <c r="BA19" s="567"/>
      <c r="BB19" s="567"/>
      <c r="BC19" s="567"/>
      <c r="BD19" s="567"/>
      <c r="BE19" s="567"/>
      <c r="BF19" s="567"/>
      <c r="BG19" s="567"/>
      <c r="BH19" s="567"/>
      <c r="BI19" s="567"/>
      <c r="BJ19" s="567"/>
      <c r="BK19" s="567"/>
      <c r="BL19" s="567"/>
      <c r="BM19" s="567"/>
      <c r="BN19" s="567"/>
      <c r="BO19" s="567"/>
      <c r="BP19" s="567"/>
      <c r="BQ19" s="567"/>
      <c r="BR19" s="567"/>
      <c r="BS19" s="567"/>
      <c r="BT19" s="567"/>
      <c r="BU19" s="567"/>
      <c r="BV19" s="473"/>
      <c r="BW19" s="473"/>
      <c r="BX19" s="473"/>
      <c r="BY19" s="473"/>
      <c r="BZ19" s="473"/>
      <c r="CA19" s="473"/>
      <c r="CB19" s="473"/>
      <c r="CC19" s="473"/>
      <c r="CD19" s="473"/>
      <c r="CE19" s="473"/>
      <c r="CF19" s="349">
        <v>0</v>
      </c>
    </row>
    <row s="2911" customFormat="1" customHeight="1" ht="22.5" hidden="1">
      <c r="A20" s="689"/>
      <c r="B20" s="473"/>
      <c r="C20" s="468"/>
      <c r="D20" s="2437"/>
      <c r="E20" s="2432" t="s">
        <v>746</v>
      </c>
      <c r="F20" s="2432"/>
      <c r="G20" s="2432"/>
      <c r="H20" s="2432"/>
      <c r="I20" s="2432"/>
      <c r="J20" s="2432"/>
      <c r="K20" s="2432"/>
      <c r="L20" s="2432"/>
      <c r="M20" s="2432"/>
      <c r="N20" s="2432"/>
      <c r="O20" s="2432"/>
      <c r="P20" s="2432"/>
      <c r="Q20" s="614">
        <f>SUMIF(T21:T22,"i",Q21:Q22)</f>
        <v>0</v>
      </c>
      <c r="R20" s="1073"/>
      <c r="S20" s="765" t="s">
        <v>747</v>
      </c>
      <c r="T20" s="773" t="s">
        <v>745</v>
      </c>
      <c r="U20" s="2430">
        <v>2</v>
      </c>
      <c r="V20" s="2430" t="str">
        <f>INDEX(B_FHD_FLAG_INDEX_2,1,MATCH(A14,B_FHD_FLAG_DIFFERENTIATION,0))</f>
        <v>отсутствует</v>
      </c>
      <c r="W20" s="473"/>
      <c r="X20" s="473"/>
      <c r="Y20" s="473"/>
      <c r="Z20" s="473"/>
      <c r="AA20" s="567"/>
      <c r="AB20" s="473"/>
      <c r="AC20" s="762"/>
      <c r="AD20" s="685"/>
      <c r="AE20" s="473"/>
      <c r="AF20" s="473"/>
      <c r="AG20" s="567"/>
      <c r="AH20" s="567"/>
      <c r="AI20" s="567"/>
      <c r="AJ20" s="567"/>
      <c r="AK20" s="567"/>
      <c r="AL20" s="567"/>
      <c r="AM20" s="567"/>
      <c r="AN20" s="567"/>
      <c r="AO20" s="567"/>
      <c r="AP20" s="567"/>
      <c r="AQ20" s="567"/>
      <c r="AR20" s="567"/>
      <c r="AS20" s="567"/>
      <c r="AT20" s="567"/>
      <c r="AU20" s="567"/>
      <c r="AV20" s="567"/>
      <c r="AW20" s="567"/>
      <c r="AX20" s="567"/>
      <c r="AY20" s="567"/>
      <c r="AZ20" s="567"/>
      <c r="BA20" s="567"/>
      <c r="BB20" s="567"/>
      <c r="BC20" s="567"/>
      <c r="BD20" s="567"/>
      <c r="BE20" s="567"/>
      <c r="BF20" s="567"/>
      <c r="BG20" s="567"/>
      <c r="BH20" s="567"/>
      <c r="BI20" s="567"/>
      <c r="BJ20" s="567"/>
      <c r="BK20" s="567"/>
      <c r="BL20" s="567"/>
      <c r="BM20" s="567"/>
      <c r="BN20" s="567"/>
      <c r="BO20" s="567"/>
      <c r="BP20" s="567"/>
      <c r="BQ20" s="567"/>
      <c r="BR20" s="567"/>
      <c r="BS20" s="567"/>
      <c r="BT20" s="567"/>
      <c r="BU20" s="567"/>
      <c r="BV20" s="473"/>
      <c r="BW20" s="473"/>
      <c r="BX20" s="473"/>
      <c r="BY20" s="473"/>
      <c r="BZ20" s="473"/>
      <c r="CA20" s="473"/>
      <c r="CB20" s="473"/>
      <c r="CC20" s="473"/>
      <c r="CD20" s="473"/>
      <c r="CE20" s="473"/>
      <c r="CF20" s="349">
        <v>0</v>
      </c>
    </row>
    <row s="2911" customFormat="1" customHeight="1" ht="11.25" hidden="1">
      <c r="A21" s="764"/>
      <c r="B21" s="567"/>
      <c r="C21" s="567"/>
      <c r="D21" s="2437"/>
      <c r="E21" s="691"/>
      <c r="F21" s="691">
        <v>0</v>
      </c>
      <c r="G21" s="691"/>
      <c r="H21" s="691"/>
      <c r="I21" s="691"/>
      <c r="J21" s="691"/>
      <c r="K21" s="691"/>
      <c r="L21" s="691"/>
      <c r="M21" s="691"/>
      <c r="N21" s="691"/>
      <c r="O21" s="691"/>
      <c r="P21" s="691"/>
      <c r="Q21" s="691"/>
      <c r="R21" s="691"/>
      <c r="S21" s="692"/>
      <c r="T21" s="774"/>
      <c r="U21" s="2430"/>
      <c r="V21" s="2430"/>
      <c r="W21" s="567"/>
      <c r="X21" s="567"/>
      <c r="Y21" s="567"/>
      <c r="Z21" s="567"/>
      <c r="AA21" s="567"/>
      <c r="AB21" s="473"/>
      <c r="AC21" s="762"/>
      <c r="AD21" s="685"/>
      <c r="AE21" s="473"/>
      <c r="AF21" s="473"/>
      <c r="AG21" s="567"/>
      <c r="AH21" s="567"/>
      <c r="AI21" s="567"/>
      <c r="AJ21" s="567"/>
      <c r="AK21" s="567"/>
      <c r="AL21" s="567"/>
      <c r="AM21" s="567"/>
      <c r="AN21" s="567"/>
      <c r="AO21" s="567"/>
      <c r="AP21" s="567"/>
      <c r="AQ21" s="567"/>
      <c r="AR21" s="567"/>
      <c r="AS21" s="567"/>
      <c r="AT21" s="567"/>
      <c r="AU21" s="567"/>
      <c r="AV21" s="567"/>
      <c r="AW21" s="567"/>
      <c r="AX21" s="567"/>
      <c r="AY21" s="567"/>
      <c r="AZ21" s="567"/>
      <c r="BA21" s="567"/>
      <c r="BB21" s="567"/>
      <c r="BC21" s="567"/>
      <c r="BD21" s="567"/>
      <c r="BE21" s="567"/>
      <c r="BF21" s="567"/>
      <c r="BG21" s="567"/>
      <c r="BH21" s="567"/>
      <c r="BI21" s="567"/>
      <c r="BJ21" s="567"/>
      <c r="BK21" s="567"/>
      <c r="BL21" s="567"/>
      <c r="BM21" s="567"/>
      <c r="BN21" s="567"/>
      <c r="BO21" s="567"/>
      <c r="BP21" s="567"/>
      <c r="BQ21" s="567"/>
      <c r="BR21" s="567"/>
      <c r="BS21" s="567"/>
      <c r="BT21" s="567"/>
      <c r="BU21" s="567"/>
      <c r="BV21" s="567"/>
      <c r="BW21" s="567"/>
      <c r="BX21" s="567"/>
      <c r="BY21" s="567"/>
      <c r="BZ21" s="567"/>
      <c r="CA21" s="567"/>
      <c r="CB21" s="567"/>
      <c r="CC21" s="567"/>
      <c r="CD21" s="567"/>
      <c r="CE21" s="567"/>
      <c r="CF21" s="349">
        <v>0</v>
      </c>
    </row>
    <row s="2911" customFormat="1" customHeight="1" ht="11.25" hidden="1">
      <c r="A22" s="689"/>
      <c r="B22" s="473"/>
      <c r="C22" s="468"/>
      <c r="D22" s="2438"/>
      <c r="E22" s="705" t="s">
        <v>28</v>
      </c>
      <c r="F22" s="706" t="s">
        <v>28</v>
      </c>
      <c r="G22" s="706" t="s">
        <v>28</v>
      </c>
      <c r="H22" s="707" t="s">
        <v>28</v>
      </c>
      <c r="I22" s="707"/>
      <c r="J22" s="707"/>
      <c r="K22" s="707"/>
      <c r="L22" s="707"/>
      <c r="M22" s="707"/>
      <c r="N22" s="707"/>
      <c r="O22" s="707"/>
      <c r="P22" s="707"/>
      <c r="Q22" s="707"/>
      <c r="R22" s="708"/>
      <c r="S22" s="1076"/>
      <c r="T22" s="774"/>
      <c r="U22" s="2430"/>
      <c r="V22" s="2430"/>
      <c r="W22" s="473"/>
      <c r="X22" s="473"/>
      <c r="Y22" s="473"/>
      <c r="Z22" s="473"/>
      <c r="AA22" s="567"/>
      <c r="AB22" s="473"/>
      <c r="AC22" s="762"/>
      <c r="AD22" s="685"/>
      <c r="AE22" s="473"/>
      <c r="AF22" s="473"/>
      <c r="AG22" s="567"/>
      <c r="AH22" s="567"/>
      <c r="AI22" s="567"/>
      <c r="AJ22" s="567"/>
      <c r="AK22" s="567"/>
      <c r="AL22" s="567"/>
      <c r="AM22" s="567"/>
      <c r="AN22" s="567"/>
      <c r="AO22" s="567"/>
      <c r="AP22" s="567"/>
      <c r="AQ22" s="567"/>
      <c r="AR22" s="567"/>
      <c r="AS22" s="567"/>
      <c r="AT22" s="567"/>
      <c r="AU22" s="567"/>
      <c r="AV22" s="567"/>
      <c r="AW22" s="567"/>
      <c r="AX22" s="567"/>
      <c r="AY22" s="567"/>
      <c r="AZ22" s="567"/>
      <c r="BA22" s="567"/>
      <c r="BB22" s="567"/>
      <c r="BC22" s="567"/>
      <c r="BD22" s="567"/>
      <c r="BE22" s="567"/>
      <c r="BF22" s="567"/>
      <c r="BG22" s="567"/>
      <c r="BH22" s="567"/>
      <c r="BI22" s="567"/>
      <c r="BJ22" s="567"/>
      <c r="BK22" s="567"/>
      <c r="BL22" s="567"/>
      <c r="BM22" s="567"/>
      <c r="BN22" s="567"/>
      <c r="BO22" s="567"/>
      <c r="BP22" s="567"/>
      <c r="BQ22" s="567"/>
      <c r="BR22" s="567"/>
      <c r="BS22" s="567"/>
      <c r="BT22" s="567"/>
      <c r="BU22" s="567"/>
      <c r="BV22" s="473"/>
      <c r="BW22" s="473"/>
      <c r="BX22" s="473"/>
      <c r="BY22" s="473"/>
      <c r="BZ22" s="473"/>
      <c r="CA22" s="473"/>
      <c r="CB22" s="473"/>
      <c r="CC22" s="473"/>
      <c r="CD22" s="473"/>
      <c r="CE22" s="473"/>
      <c r="CF22" s="349">
        <v>0</v>
      </c>
    </row>
    <row customHeight="1" ht="19.95">
      <c r="D23" s="1103"/>
      <c r="E23" s="1103"/>
      <c r="F23" s="1103"/>
      <c r="G23" s="1103"/>
      <c r="H23" s="1103"/>
      <c r="I23" s="1103"/>
      <c r="J23" s="1103"/>
      <c r="K23" s="1103"/>
      <c r="L23" s="1103"/>
      <c r="M23" s="1103"/>
      <c r="N23" s="1103"/>
      <c r="O23" s="1103"/>
      <c r="P23" s="1103"/>
      <c r="Q23" s="1103"/>
      <c r="R23" s="1103"/>
      <c r="S23" s="1103"/>
      <c r="T23" s="390"/>
      <c r="CF23" s="561">
        <v>19</v>
      </c>
    </row>
    <row customHeight="1" ht="11.549999999999999">
      <c r="D24" s="565"/>
      <c r="CF24" s="561">
        <v>11</v>
      </c>
    </row>
    <row customHeight="1" ht="11.549999999999999">
      <c r="D25" s="710"/>
      <c r="E25" s="710"/>
      <c r="F25" s="710"/>
      <c r="G25" s="711"/>
      <c r="CF25" s="561">
        <v>11</v>
      </c>
    </row>
    <row customHeight="1" ht="11.549999999999999">
      <c r="CF26" s="561">
        <v>11</v>
      </c>
    </row>
    <row customHeight="1" ht="11.549999999999999">
      <c r="D27" s="712"/>
      <c r="E27" s="2440"/>
      <c r="F27" s="2440"/>
      <c r="G27" s="2440"/>
      <c r="H27" s="2440"/>
      <c r="I27" s="2440"/>
      <c r="J27" s="2440"/>
      <c r="K27" s="2440"/>
      <c r="L27" s="2440"/>
      <c r="M27" s="2440"/>
      <c r="N27" s="2440"/>
      <c r="O27" s="2440"/>
      <c r="P27" s="2440"/>
      <c r="Q27" s="2440"/>
      <c r="R27" s="2440"/>
      <c r="CF27" s="561">
        <v>11</v>
      </c>
    </row>
    <row customHeight="1" ht="11.549999999999999">
      <c r="F28" s="814"/>
      <c r="G28" s="814"/>
      <c r="CF28" s="561">
        <v>11</v>
      </c>
    </row>
    <row customHeight="1" ht="11.25" hidden="1">
      <c r="A29" s="666" t="s">
        <v>86</v>
      </c>
      <c r="B29" s="505">
        <v>0</v>
      </c>
      <c r="C29" s="561">
        <v>3</v>
      </c>
      <c r="D29" s="561">
        <v>0</v>
      </c>
      <c r="E29" s="561">
        <v>7</v>
      </c>
      <c r="F29" s="561">
        <v>7</v>
      </c>
      <c r="G29" s="561">
        <v>29</v>
      </c>
      <c r="H29" s="561">
        <v>3</v>
      </c>
      <c r="I29" s="561">
        <v>5</v>
      </c>
      <c r="J29" s="561">
        <v>24</v>
      </c>
      <c r="K29" s="561">
        <v>24</v>
      </c>
      <c r="L29" s="561">
        <v>3</v>
      </c>
      <c r="M29" s="561">
        <v>6</v>
      </c>
      <c r="N29" s="561">
        <v>25</v>
      </c>
      <c r="O29" s="561">
        <v>18</v>
      </c>
      <c r="P29" s="561">
        <v>18</v>
      </c>
      <c r="Q29" s="561">
        <v>18</v>
      </c>
      <c r="R29" s="561">
        <v>18</v>
      </c>
      <c r="S29" s="561">
        <v>93</v>
      </c>
      <c r="T29" s="561">
        <v>10</v>
      </c>
      <c r="U29" s="667">
        <v>10</v>
      </c>
      <c r="V29" s="667">
        <v>11</v>
      </c>
      <c r="W29" s="668">
        <v>10</v>
      </c>
      <c r="X29" s="505">
        <v>10</v>
      </c>
      <c r="Y29" s="505">
        <v>10</v>
      </c>
      <c r="Z29" s="505">
        <v>10</v>
      </c>
      <c r="AA29" s="505">
        <v>10</v>
      </c>
      <c r="AB29" s="561">
        <v>8</v>
      </c>
      <c r="AC29" s="561">
        <v>8</v>
      </c>
      <c r="AD29" s="561">
        <v>8</v>
      </c>
      <c r="AE29" s="561">
        <v>8</v>
      </c>
      <c r="AF29" s="561">
        <v>8</v>
      </c>
      <c r="AG29" s="561">
        <v>8</v>
      </c>
      <c r="AH29" s="561">
        <v>8</v>
      </c>
      <c r="AI29" s="561">
        <v>8</v>
      </c>
      <c r="AJ29" s="561">
        <v>8</v>
      </c>
      <c r="AK29" s="561">
        <v>8</v>
      </c>
      <c r="AL29" s="561">
        <v>8</v>
      </c>
      <c r="AM29" s="561">
        <v>8</v>
      </c>
      <c r="AN29" s="561">
        <v>8</v>
      </c>
      <c r="AO29" s="561">
        <v>8</v>
      </c>
      <c r="AP29" s="561">
        <v>8</v>
      </c>
      <c r="AQ29" s="561">
        <v>8</v>
      </c>
      <c r="AR29" s="561">
        <v>8</v>
      </c>
      <c r="AS29" s="561">
        <v>8</v>
      </c>
      <c r="AT29" s="561">
        <v>8</v>
      </c>
      <c r="AU29" s="561">
        <v>8</v>
      </c>
      <c r="AV29" s="561">
        <v>8</v>
      </c>
      <c r="AW29" s="561">
        <v>8</v>
      </c>
      <c r="AX29" s="561">
        <v>8</v>
      </c>
      <c r="AY29" s="561">
        <v>8</v>
      </c>
      <c r="AZ29" s="561">
        <v>8</v>
      </c>
      <c r="BA29" s="561">
        <v>8</v>
      </c>
      <c r="BB29" s="561">
        <v>8</v>
      </c>
      <c r="BC29" s="561">
        <v>8</v>
      </c>
      <c r="BD29" s="561">
        <v>8</v>
      </c>
      <c r="BE29" s="561">
        <v>8</v>
      </c>
      <c r="BF29" s="561">
        <v>8</v>
      </c>
      <c r="BG29" s="561">
        <v>8</v>
      </c>
      <c r="BH29" s="561">
        <v>8</v>
      </c>
      <c r="BI29" s="561">
        <v>8</v>
      </c>
      <c r="BJ29" s="561">
        <v>8</v>
      </c>
      <c r="BK29" s="561">
        <v>8</v>
      </c>
      <c r="BL29" s="561">
        <v>8</v>
      </c>
      <c r="BM29" s="561">
        <v>8</v>
      </c>
      <c r="BN29" s="561">
        <v>8</v>
      </c>
      <c r="BO29" s="561">
        <v>8</v>
      </c>
      <c r="BP29" s="561">
        <v>8</v>
      </c>
      <c r="BQ29" s="561">
        <v>8</v>
      </c>
      <c r="BR29" s="561">
        <v>8</v>
      </c>
      <c r="BS29" s="561">
        <v>8</v>
      </c>
      <c r="BT29" s="561">
        <v>8</v>
      </c>
      <c r="BU29" s="561">
        <v>8</v>
      </c>
      <c r="BV29" s="561">
        <v>8</v>
      </c>
      <c r="BW29" s="561">
        <v>8</v>
      </c>
      <c r="BX29" s="561">
        <v>8</v>
      </c>
      <c r="BY29" s="561">
        <v>8</v>
      </c>
      <c r="BZ29" s="561">
        <v>8</v>
      </c>
      <c r="CA29" s="561">
        <v>8</v>
      </c>
      <c r="CB29" s="561">
        <v>8</v>
      </c>
      <c r="CC29" s="561">
        <v>8</v>
      </c>
      <c r="CD29" s="561">
        <v>8</v>
      </c>
      <c r="CE29" s="561">
        <v>8</v>
      </c>
      <c r="CF29" s="561">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DA6EDD-44AC-DD09-8974-4B0FF8D0849A}" mc:Ignorable="x14ac xr xr2 xr3">
  <sheetPr>
    <tabColor theme="9" tint="-0.25"/>
  </sheetPr>
  <dimension ref="A1:AK204"/>
  <sheetViews>
    <sheetView topLeftCell="A1" showGridLines="0" zoomScale="90" workbookViewId="0">
      <selection activeCell="A1" sqref="A1"/>
    </sheetView>
  </sheetViews>
  <sheetFormatPr defaultColWidth="9.140625" customHeight="1" defaultRowHeight="11.25"/>
  <cols>
    <col min="1" max="5" style="12353" width="10.7109375" hidden="1" customWidth="1"/>
    <col min="6" max="6" style="2850" width="16.8515625" hidden="1" customWidth="1"/>
    <col min="7" max="7" style="2851" width="5.57421875" hidden="1" customWidth="1"/>
    <col min="8" max="8" style="2774" width="3.00390625" customWidth="1"/>
    <col min="9" max="9" style="2774" width="7.00390625" customWidth="1"/>
    <col min="10" max="10" style="2774" width="56.00390625" customWidth="1"/>
    <col min="11" max="11" style="2774" width="10.00390625" customWidth="1"/>
    <col min="12" max="12" style="2774" width="40.57421875" hidden="1" customWidth="1"/>
    <col min="13" max="13" style="2774" width="40.7109375" customWidth="1"/>
    <col min="14" max="14" style="2850" width="9.7109375" hidden="1" customWidth="1"/>
    <col min="15" max="15" style="2774" width="102.00390625" customWidth="1"/>
    <col min="16" max="16" style="2850" width="9.00390625" customWidth="1"/>
    <col min="17" max="17" style="2851" width="5.00390625" customWidth="1"/>
    <col min="18" max="18" style="2851" width="3.00390625" customWidth="1"/>
    <col min="19" max="22" style="2850" width="3.00390625" customWidth="1"/>
    <col min="23" max="23" style="2851" width="10.00390625" customWidth="1"/>
    <col min="24" max="24" style="2850" width="34.00390625" customWidth="1"/>
    <col min="25" max="25" style="2850" width="9.00390625" customWidth="1"/>
    <col min="26" max="26" style="12423" width="8.00390625" customWidth="1"/>
    <col min="27" max="31" style="2850" width="8.00390625" customWidth="1"/>
    <col min="32" max="36" style="2738" width="8.00390625" customWidth="1"/>
    <col min="37" max="37" style="2774" width="5.421875" hidden="1" customWidth="1"/>
  </cols>
  <sheetData>
    <row s="2850" customFormat="1" customHeight="1" ht="33.75" hidden="1">
      <c r="A1" s="1043"/>
      <c r="B1" s="1043"/>
      <c r="C1" s="1043"/>
      <c r="D1" s="1043"/>
      <c r="E1" s="1043"/>
      <c r="G1" s="1692"/>
      <c r="H1" s="934"/>
      <c r="L1" s="1422">
        <v>4</v>
      </c>
      <c r="M1" s="1422">
        <v>4</v>
      </c>
      <c r="Q1" s="1692"/>
      <c r="R1" s="1692"/>
      <c r="W1" s="1692"/>
      <c r="AK1" s="1422" t="s">
        <v>14</v>
      </c>
    </row>
    <row s="2850" customFormat="1" customHeight="1" ht="78.75" hidden="1">
      <c r="A2" s="1043"/>
      <c r="B2" s="2109" t="s">
        <v>748</v>
      </c>
      <c r="C2" s="2109" t="s">
        <v>749</v>
      </c>
      <c r="D2" s="2108" t="s">
        <v>750</v>
      </c>
      <c r="E2" s="2112">
        <f>RIGHT(I2,LEN(I2)-SEARCH("#",SUBSTITUTE(I2,".","#",LEN(I2)-LEN(SUBSTITUTE(I2,".","")))))</f>
      </c>
      <c r="F2" s="2114">
        <f>J2</f>
        <v>0</v>
      </c>
      <c r="G2" s="1692"/>
      <c r="H2" s="2115"/>
      <c r="I2" s="2105"/>
      <c r="J2" s="596"/>
      <c r="K2" s="2075" t="s">
        <v>689</v>
      </c>
      <c r="L2" s="807"/>
      <c r="M2" s="807"/>
      <c r="N2" s="599"/>
      <c r="O2" s="1581" t="s">
        <v>690</v>
      </c>
      <c r="P2" s="599"/>
      <c r="Q2" s="1692"/>
      <c r="R2" s="1692"/>
      <c r="W2" s="1692"/>
      <c r="Z2" s="600"/>
      <c r="AF2" s="1688"/>
      <c r="AG2" s="1688"/>
      <c r="AH2" s="1688"/>
      <c r="AI2" s="1688"/>
      <c r="AJ2" s="1688"/>
      <c r="AK2" s="1422">
        <v>0</v>
      </c>
    </row>
    <row customHeight="1" ht="11.25" hidden="1">
      <c r="E3" s="2107" t="s">
        <v>751</v>
      </c>
      <c r="L3" s="1687">
        <f>0</f>
        <v>0</v>
      </c>
      <c r="M3" s="1687">
        <v>1</v>
      </c>
      <c r="AK3" s="1687">
        <v>0</v>
      </c>
    </row>
    <row s="2738" customFormat="1" customHeight="1" ht="11.25" hidden="1">
      <c r="A4" s="1043"/>
      <c r="B4" s="1043"/>
      <c r="C4" s="1043"/>
      <c r="E4" s="1043"/>
      <c r="F4" s="1422"/>
      <c r="G4" s="1692"/>
      <c r="H4" s="676"/>
      <c r="N4" s="1422"/>
      <c r="O4" s="1688">
        <v>4</v>
      </c>
      <c r="P4" s="1422"/>
      <c r="Q4" s="1692"/>
      <c r="R4" s="1692"/>
      <c r="S4" s="1422"/>
      <c r="T4" s="1422"/>
      <c r="U4" s="1422"/>
      <c r="V4" s="1422"/>
      <c r="W4" s="1692"/>
      <c r="X4" s="1422"/>
      <c r="Y4" s="1422"/>
      <c r="Z4" s="600"/>
      <c r="AA4" s="1422"/>
      <c r="AB4" s="1422"/>
      <c r="AC4" s="1422"/>
      <c r="AD4" s="1422"/>
      <c r="AE4" s="1422"/>
      <c r="AK4" s="1688">
        <v>0</v>
      </c>
    </row>
    <row customHeight="1" ht="11.549999999999999">
      <c r="AK5" s="1687">
        <v>11</v>
      </c>
    </row>
    <row customHeight="1" ht="57.75">
      <c r="I6" s="2363" t="s">
        <v>752</v>
      </c>
      <c r="J6" s="2363"/>
      <c r="K6" s="2363"/>
      <c r="L6" s="2363"/>
      <c r="M6" s="2363"/>
      <c r="O6" s="612"/>
      <c r="AK6" s="1687">
        <v>55</v>
      </c>
    </row>
    <row customHeight="1" ht="25.2">
      <c r="I7" s="2305" t="str">
        <f>IF(org=0,"Не определено",org)</f>
        <v>МУП ЖКХ "Родник"</v>
      </c>
      <c r="J7" s="2305"/>
      <c r="K7" s="2305"/>
      <c r="L7" s="2305"/>
      <c r="M7" s="2305"/>
      <c r="AK7" s="1687">
        <v>24</v>
      </c>
    </row>
    <row customHeight="1" ht="11.549999999999999">
      <c r="I8" s="1191"/>
      <c r="J8" s="1191"/>
      <c r="K8" s="1191"/>
      <c r="L8" s="1191"/>
      <c r="M8" s="1191"/>
      <c r="AK8" s="1687">
        <v>11</v>
      </c>
    </row>
    <row s="2851" customFormat="1" customHeight="1" ht="30" hidden="1">
      <c r="A9" s="1223"/>
      <c r="B9" s="1223"/>
      <c r="C9" s="1223"/>
      <c r="E9" s="1223"/>
      <c r="H9" s="1698"/>
      <c r="L9" s="945"/>
      <c r="M9" s="945" t="s">
        <v>196</v>
      </c>
      <c r="AK9" s="1692">
        <v>1</v>
      </c>
    </row>
    <row customHeight="1" ht="11.549999999999999">
      <c r="E10" s="2106" t="s">
        <v>753</v>
      </c>
      <c r="I10" s="767"/>
      <c r="J10" s="2423" t="s">
        <v>187</v>
      </c>
      <c r="K10" s="2424"/>
      <c r="L10" s="2085" t="str">
        <f>IF(L9="","",INDEX(DIFFERENTIATION_UNMERGE_VD,MATCH(L9,DIFFERENTIATION_ID_DIFF,0)))</f>
        <v/>
      </c>
      <c r="M10" s="2085">
        <f>IF(M9="","",INDEX(DIFFERENTIATION_UNMERGE_VD,MATCH(M9,DIFFERENTIATION_ID_DIFF,0)))</f>
        <v>0</v>
      </c>
      <c r="O10" s="2183" t="s">
        <v>433</v>
      </c>
      <c r="AK10" s="1687">
        <v>11</v>
      </c>
    </row>
    <row customHeight="1" ht="11.549999999999999">
      <c r="E11" s="2106" t="s">
        <v>754</v>
      </c>
      <c r="I11" s="767"/>
      <c r="J11" s="2423" t="s">
        <v>697</v>
      </c>
      <c r="K11" s="2424"/>
      <c r="L11" s="2085" t="str">
        <f>IF(L9="","",INDEX(DIFFERENTIATION_UNMERGE_AREA,MATCH(L9,DIFFERENTIATION_ID_DIFF,0)))</f>
        <v/>
      </c>
      <c r="M11" s="2085" t="str">
        <f>IF(M9="","",INDEX(DIFFERENTIATION_UNMERGE_AREA,MATCH(M9,DIFFERENTIATION_ID_DIFF,0)))</f>
        <v/>
      </c>
      <c r="O11" s="2183"/>
      <c r="AK11" s="1687">
        <v>11</v>
      </c>
    </row>
    <row customHeight="1" ht="11.549999999999999">
      <c r="E12" s="2106" t="s">
        <v>755</v>
      </c>
      <c r="I12" s="1718"/>
      <c r="J12" s="2423" t="s">
        <v>698</v>
      </c>
      <c r="K12" s="2424"/>
      <c r="L12" s="2085" t="str">
        <f>IF(L9="","",INDEX(DIFFERENTIATION_UNMERGE_SYSTEM,MATCH(L9,DIFFERENTIATION_ID_DIFF,0)))</f>
        <v/>
      </c>
      <c r="M12" s="2085" t="str">
        <f>IF(M9="","",INDEX(DIFFERENTIATION_UNMERGE_SYSTEM,MATCH(M9,DIFFERENTIATION_ID_DIFF,0)))</f>
        <v>без дифференциации</v>
      </c>
      <c r="O12" s="2183"/>
      <c r="AK12" s="1687">
        <v>11</v>
      </c>
    </row>
    <row customHeight="1" ht="11.549999999999999">
      <c r="E13" s="2106" t="s">
        <v>756</v>
      </c>
      <c r="F13" s="2106" t="s">
        <v>757</v>
      </c>
      <c r="I13" s="2425" t="s">
        <v>432</v>
      </c>
      <c r="J13" s="2426"/>
      <c r="K13" s="2426"/>
      <c r="L13" s="2083"/>
      <c r="M13" s="2123"/>
      <c r="O13" s="2183"/>
      <c r="AK13" s="1687">
        <v>11</v>
      </c>
    </row>
    <row customHeight="1" ht="24">
      <c r="I14" s="2076" t="s">
        <v>92</v>
      </c>
      <c r="J14" s="2076" t="s">
        <v>434</v>
      </c>
      <c r="K14" s="2076" t="s">
        <v>699</v>
      </c>
      <c r="L14" s="2116" t="s">
        <v>435</v>
      </c>
      <c r="M14" s="2117" t="s">
        <v>435</v>
      </c>
      <c r="O14" s="2183"/>
      <c r="AK14" s="1687">
        <v>23</v>
      </c>
    </row>
    <row customHeight="1" ht="24">
      <c r="A15" s="2110"/>
      <c r="B15" s="2109" t="s">
        <v>758</v>
      </c>
      <c r="C15" s="2109" t="s">
        <v>759</v>
      </c>
      <c r="D15" s="2108" t="s">
        <v>760</v>
      </c>
      <c r="E15" s="2112" t="s">
        <v>761</v>
      </c>
      <c r="F15" s="2112" t="s">
        <v>761</v>
      </c>
      <c r="G15" s="1692" t="s">
        <v>721</v>
      </c>
      <c r="H15" s="2077"/>
      <c r="I15" s="1686">
        <v>1</v>
      </c>
      <c r="J15" s="2078" t="s">
        <v>762</v>
      </c>
      <c r="K15" s="2076" t="s">
        <v>438</v>
      </c>
      <c r="L15" s="718"/>
      <c r="M15" s="874"/>
      <c r="N15" s="599" t="s">
        <v>763</v>
      </c>
      <c r="O15" s="1581" t="s">
        <v>764</v>
      </c>
      <c r="P15" s="599" t="s">
        <v>763</v>
      </c>
      <c r="AK15" s="1687">
        <v>23</v>
      </c>
    </row>
    <row customHeight="1" ht="35.699999999999996">
      <c r="A16" s="2110"/>
      <c r="B16" s="2109" t="s">
        <v>765</v>
      </c>
      <c r="C16" s="2109" t="s">
        <v>766</v>
      </c>
      <c r="D16" s="2108" t="s">
        <v>750</v>
      </c>
      <c r="E16" s="2112" t="s">
        <v>761</v>
      </c>
      <c r="F16" s="2112" t="s">
        <v>761</v>
      </c>
      <c r="H16" s="2077"/>
      <c r="I16" s="1685">
        <v>2</v>
      </c>
      <c r="J16" s="2119" t="s">
        <v>767</v>
      </c>
      <c r="K16" s="2118" t="s">
        <v>689</v>
      </c>
      <c r="L16" s="2124"/>
      <c r="M16" s="1732"/>
      <c r="N16" s="599" t="s">
        <v>763</v>
      </c>
      <c r="O16" s="1581" t="s">
        <v>768</v>
      </c>
      <c r="P16" s="599" t="s">
        <v>763</v>
      </c>
      <c r="AK16" s="1687">
        <v>34</v>
      </c>
    </row>
    <row s="2851" customFormat="1" customHeight="1" ht="17.25" hidden="1">
      <c r="A17" s="1223"/>
      <c r="B17" s="1223"/>
      <c r="C17" s="1223"/>
      <c r="D17" s="1223"/>
      <c r="E17" s="1223"/>
      <c r="H17" s="1380"/>
      <c r="I17" s="1069" t="s">
        <v>769</v>
      </c>
      <c r="J17" s="1047"/>
      <c r="K17" s="1069"/>
      <c r="L17" s="1048"/>
      <c r="M17" s="1048"/>
      <c r="O17" s="1441"/>
      <c r="AK17" s="1692">
        <v>1</v>
      </c>
    </row>
    <row s="2850" customFormat="1" customHeight="1" ht="24">
      <c r="A18" s="1043"/>
      <c r="B18" s="1043"/>
      <c r="C18" s="1043"/>
      <c r="D18" s="1043"/>
      <c r="E18" s="1043"/>
      <c r="G18" s="1692"/>
      <c r="H18" s="1689"/>
      <c r="I18" s="626"/>
      <c r="J18" s="627" t="s">
        <v>719</v>
      </c>
      <c r="K18" s="628"/>
      <c r="L18" s="2126"/>
      <c r="M18" s="629"/>
      <c r="N18" s="599"/>
      <c r="O18" s="1581" t="s">
        <v>720</v>
      </c>
      <c r="P18" s="599"/>
      <c r="Q18" s="1692"/>
      <c r="R18" s="1692"/>
      <c r="W18" s="1692"/>
      <c r="Z18" s="600"/>
      <c r="AF18" s="1688"/>
      <c r="AG18" s="1688"/>
      <c r="AH18" s="1688"/>
      <c r="AI18" s="1688"/>
      <c r="AJ18" s="1688"/>
      <c r="AK18" s="1422">
        <v>23</v>
      </c>
    </row>
    <row customHeight="1" ht="19.95">
      <c r="A19" s="2110"/>
      <c r="B19" s="2109" t="s">
        <v>770</v>
      </c>
      <c r="C19" s="2109" t="s">
        <v>771</v>
      </c>
      <c r="D19" s="2108" t="s">
        <v>750</v>
      </c>
      <c r="E19" s="2112" t="s">
        <v>761</v>
      </c>
      <c r="F19" s="2112" t="s">
        <v>761</v>
      </c>
      <c r="H19" s="2077"/>
      <c r="I19" s="1720">
        <v>3</v>
      </c>
      <c r="J19" s="2078" t="s">
        <v>771</v>
      </c>
      <c r="K19" s="2074" t="s">
        <v>689</v>
      </c>
      <c r="L19" s="783"/>
      <c r="M19" s="613"/>
      <c r="N19" s="599"/>
      <c r="O19" s="1581" t="s">
        <v>772</v>
      </c>
      <c r="P19" s="599"/>
      <c r="AK19" s="1687">
        <v>19</v>
      </c>
    </row>
    <row customHeight="1" ht="77.7">
      <c r="A20" s="2110"/>
      <c r="B20" s="2109" t="s">
        <v>773</v>
      </c>
      <c r="C20" s="2109" t="s">
        <v>774</v>
      </c>
      <c r="D20" s="2108" t="s">
        <v>750</v>
      </c>
      <c r="E20" s="2112" t="s">
        <v>761</v>
      </c>
      <c r="F20" s="2112" t="s">
        <v>761</v>
      </c>
      <c r="H20" s="2077"/>
      <c r="I20" s="1720">
        <v>4</v>
      </c>
      <c r="J20" s="2078" t="s">
        <v>775</v>
      </c>
      <c r="K20" s="2074" t="s">
        <v>716</v>
      </c>
      <c r="L20" s="783"/>
      <c r="M20" s="613"/>
      <c r="N20" s="599"/>
      <c r="O20" s="1581"/>
      <c r="P20" s="599"/>
      <c r="AK20" s="1687">
        <v>74</v>
      </c>
    </row>
    <row customHeight="1" ht="35.699999999999996">
      <c r="A21" s="2110"/>
      <c r="B21" s="2109" t="s">
        <v>776</v>
      </c>
      <c r="C21" s="2109" t="s">
        <v>777</v>
      </c>
      <c r="D21" s="2108" t="s">
        <v>750</v>
      </c>
      <c r="E21" s="2112" t="s">
        <v>761</v>
      </c>
      <c r="F21" s="2112" t="s">
        <v>761</v>
      </c>
      <c r="H21" s="2077"/>
      <c r="I21" s="1720">
        <v>5</v>
      </c>
      <c r="J21" s="2078" t="s">
        <v>778</v>
      </c>
      <c r="K21" s="2074" t="s">
        <v>716</v>
      </c>
      <c r="L21" s="783"/>
      <c r="M21" s="613"/>
      <c r="N21" s="599"/>
      <c r="O21" s="1581" t="s">
        <v>772</v>
      </c>
      <c r="P21" s="599"/>
      <c r="AK21" s="1687">
        <v>34</v>
      </c>
    </row>
    <row customHeight="1" ht="48.29999999999999">
      <c r="A22" s="2110"/>
      <c r="B22" s="2109" t="s">
        <v>779</v>
      </c>
      <c r="C22" s="2109" t="s">
        <v>780</v>
      </c>
      <c r="D22" s="2108" t="s">
        <v>750</v>
      </c>
      <c r="E22" s="2112" t="s">
        <v>761</v>
      </c>
      <c r="F22" s="2112" t="s">
        <v>761</v>
      </c>
      <c r="H22" s="2077"/>
      <c r="I22" s="1720">
        <v>6</v>
      </c>
      <c r="J22" s="2078" t="s">
        <v>781</v>
      </c>
      <c r="K22" s="2074" t="s">
        <v>716</v>
      </c>
      <c r="L22" s="783"/>
      <c r="M22" s="613"/>
      <c r="N22" s="599"/>
      <c r="O22" s="1581" t="s">
        <v>782</v>
      </c>
      <c r="P22" s="599"/>
      <c r="AK22" s="1687">
        <v>46</v>
      </c>
    </row>
    <row customHeight="1" ht="19.95">
      <c r="A23" s="2110"/>
      <c r="B23" s="2109" t="s">
        <v>783</v>
      </c>
      <c r="C23" s="2109" t="s">
        <v>784</v>
      </c>
      <c r="D23" s="2108" t="s">
        <v>750</v>
      </c>
      <c r="E23" s="2112" t="s">
        <v>761</v>
      </c>
      <c r="F23" s="2112" t="s">
        <v>761</v>
      </c>
      <c r="H23" s="2077"/>
      <c r="I23" s="1720" t="s">
        <v>785</v>
      </c>
      <c r="J23" s="1580" t="s">
        <v>786</v>
      </c>
      <c r="K23" s="2074" t="s">
        <v>716</v>
      </c>
      <c r="L23" s="783"/>
      <c r="M23" s="613"/>
      <c r="N23" s="599"/>
      <c r="O23" s="1581" t="s">
        <v>772</v>
      </c>
      <c r="P23" s="599"/>
      <c r="AK23" s="1687">
        <v>19</v>
      </c>
    </row>
    <row customHeight="1" ht="19.95">
      <c r="A24" s="2110"/>
      <c r="B24" s="2109" t="s">
        <v>787</v>
      </c>
      <c r="C24" s="2109" t="s">
        <v>788</v>
      </c>
      <c r="D24" s="2108" t="s">
        <v>750</v>
      </c>
      <c r="E24" s="2112" t="s">
        <v>761</v>
      </c>
      <c r="F24" s="2112" t="s">
        <v>761</v>
      </c>
      <c r="H24" s="2077"/>
      <c r="I24" s="1720" t="s">
        <v>789</v>
      </c>
      <c r="J24" s="1580" t="s">
        <v>790</v>
      </c>
      <c r="K24" s="2074" t="s">
        <v>716</v>
      </c>
      <c r="L24" s="783"/>
      <c r="M24" s="613"/>
      <c r="N24" s="599"/>
      <c r="O24" s="1581"/>
      <c r="P24" s="599"/>
      <c r="AK24" s="1687">
        <v>19</v>
      </c>
    </row>
    <row customHeight="1" ht="24">
      <c r="A25" s="2110"/>
      <c r="B25" s="2109" t="s">
        <v>791</v>
      </c>
      <c r="C25" s="2109" t="s">
        <v>792</v>
      </c>
      <c r="D25" s="2108" t="s">
        <v>750</v>
      </c>
      <c r="E25" s="2112" t="s">
        <v>761</v>
      </c>
      <c r="F25" s="2112" t="s">
        <v>761</v>
      </c>
      <c r="H25" s="2077"/>
      <c r="I25" s="1720" t="s">
        <v>793</v>
      </c>
      <c r="J25" s="1580" t="s">
        <v>794</v>
      </c>
      <c r="K25" s="2074" t="s">
        <v>716</v>
      </c>
      <c r="L25" s="783"/>
      <c r="M25" s="613"/>
      <c r="N25" s="599"/>
      <c r="O25" s="1581"/>
      <c r="P25" s="599"/>
      <c r="AK25" s="1687">
        <v>23</v>
      </c>
    </row>
    <row customHeight="1" ht="24">
      <c r="A26" s="2110"/>
      <c r="B26" s="2109" t="s">
        <v>795</v>
      </c>
      <c r="C26" s="2109" t="s">
        <v>796</v>
      </c>
      <c r="D26" s="2108" t="s">
        <v>750</v>
      </c>
      <c r="E26" s="2112" t="s">
        <v>761</v>
      </c>
      <c r="F26" s="2112" t="s">
        <v>761</v>
      </c>
      <c r="H26" s="2077"/>
      <c r="I26" s="1720">
        <v>7</v>
      </c>
      <c r="J26" s="2078" t="s">
        <v>796</v>
      </c>
      <c r="K26" s="2074" t="s">
        <v>797</v>
      </c>
      <c r="L26" s="783"/>
      <c r="M26" s="613"/>
      <c r="N26" s="599"/>
      <c r="O26" s="1581"/>
      <c r="P26" s="599"/>
      <c r="AK26" s="1687">
        <v>23</v>
      </c>
    </row>
    <row customHeight="1" ht="24">
      <c r="A27" s="2110"/>
      <c r="B27" s="2109" t="s">
        <v>798</v>
      </c>
      <c r="C27" s="2109" t="s">
        <v>799</v>
      </c>
      <c r="D27" s="2108" t="s">
        <v>750</v>
      </c>
      <c r="E27" s="2112" t="s">
        <v>761</v>
      </c>
      <c r="F27" s="2112" t="s">
        <v>761</v>
      </c>
      <c r="H27" s="2077"/>
      <c r="I27" s="1720">
        <v>8</v>
      </c>
      <c r="J27" s="2078" t="s">
        <v>799</v>
      </c>
      <c r="K27" s="2074" t="s">
        <v>722</v>
      </c>
      <c r="L27" s="783"/>
      <c r="M27" s="613"/>
      <c r="N27" s="599"/>
      <c r="O27" s="1581"/>
      <c r="P27" s="599"/>
      <c r="AK27" s="1687">
        <v>23</v>
      </c>
    </row>
    <row customHeight="1" ht="35.699999999999996">
      <c r="A28" s="2110"/>
      <c r="B28" s="2109" t="s">
        <v>800</v>
      </c>
      <c r="C28" s="2109" t="s">
        <v>801</v>
      </c>
      <c r="D28" s="2108" t="s">
        <v>750</v>
      </c>
      <c r="E28" s="2112" t="s">
        <v>761</v>
      </c>
      <c r="F28" s="2112" t="s">
        <v>761</v>
      </c>
      <c r="H28" s="2077"/>
      <c r="I28" s="1731">
        <v>9</v>
      </c>
      <c r="J28" s="2078" t="s">
        <v>802</v>
      </c>
      <c r="K28" s="2074" t="s">
        <v>693</v>
      </c>
      <c r="L28" s="783"/>
      <c r="M28" s="613"/>
      <c r="N28" s="599"/>
      <c r="O28" s="1581"/>
      <c r="P28" s="599"/>
      <c r="AK28" s="1687">
        <v>34</v>
      </c>
    </row>
    <row customHeight="1" ht="35.699999999999996">
      <c r="A29" s="2110"/>
      <c r="B29" s="2109" t="s">
        <v>803</v>
      </c>
      <c r="C29" s="2109" t="s">
        <v>804</v>
      </c>
      <c r="D29" s="2108" t="s">
        <v>750</v>
      </c>
      <c r="E29" s="2112" t="s">
        <v>761</v>
      </c>
      <c r="F29" s="2112" t="s">
        <v>761</v>
      </c>
      <c r="H29" s="2077"/>
      <c r="I29" s="1731">
        <v>10</v>
      </c>
      <c r="J29" s="2078" t="s">
        <v>805</v>
      </c>
      <c r="K29" s="2074" t="s">
        <v>693</v>
      </c>
      <c r="L29" s="783"/>
      <c r="M29" s="613"/>
      <c r="N29" s="599"/>
      <c r="O29" s="1581"/>
      <c r="P29" s="599"/>
      <c r="AK29" s="1687">
        <v>34</v>
      </c>
    </row>
    <row customHeight="1" ht="24">
      <c r="A30" s="2110"/>
      <c r="B30" s="2109" t="s">
        <v>806</v>
      </c>
      <c r="C30" s="2109" t="s">
        <v>807</v>
      </c>
      <c r="D30" s="2108" t="s">
        <v>750</v>
      </c>
      <c r="E30" s="2112" t="s">
        <v>761</v>
      </c>
      <c r="F30" s="2112" t="s">
        <v>761</v>
      </c>
      <c r="H30" s="2077"/>
      <c r="I30" s="1731">
        <v>11</v>
      </c>
      <c r="J30" s="2078" t="s">
        <v>807</v>
      </c>
      <c r="K30" s="2074" t="s">
        <v>723</v>
      </c>
      <c r="L30" s="2125"/>
      <c r="M30" s="1677"/>
      <c r="N30" s="599"/>
      <c r="O30" s="1581"/>
      <c r="P30" s="599"/>
      <c r="AK30" s="1687">
        <v>23</v>
      </c>
    </row>
    <row customHeight="1" ht="24">
      <c r="A31" s="2110"/>
      <c r="B31" s="2109" t="s">
        <v>808</v>
      </c>
      <c r="C31" s="2109" t="s">
        <v>809</v>
      </c>
      <c r="D31" s="2108" t="s">
        <v>750</v>
      </c>
      <c r="E31" s="2112" t="s">
        <v>761</v>
      </c>
      <c r="F31" s="2112" t="s">
        <v>761</v>
      </c>
      <c r="H31" s="2077"/>
      <c r="I31" s="1731">
        <v>12</v>
      </c>
      <c r="J31" s="2078" t="s">
        <v>809</v>
      </c>
      <c r="K31" s="2074" t="s">
        <v>723</v>
      </c>
      <c r="L31" s="2125"/>
      <c r="M31" s="1677"/>
      <c r="N31" s="599"/>
      <c r="O31" s="1581"/>
      <c r="P31" s="599"/>
      <c r="AK31" s="1687">
        <v>23</v>
      </c>
    </row>
    <row customHeight="1" ht="48.29999999999999">
      <c r="A32" s="2110"/>
      <c r="B32" s="2109" t="s">
        <v>810</v>
      </c>
      <c r="C32" s="2109" t="s">
        <v>811</v>
      </c>
      <c r="D32" s="2108" t="s">
        <v>750</v>
      </c>
      <c r="E32" s="2112" t="s">
        <v>761</v>
      </c>
      <c r="F32" s="2112" t="s">
        <v>761</v>
      </c>
      <c r="H32" s="2077"/>
      <c r="I32" s="1731">
        <v>13</v>
      </c>
      <c r="J32" s="2078" t="s">
        <v>812</v>
      </c>
      <c r="K32" s="2074" t="s">
        <v>733</v>
      </c>
      <c r="L32" s="783"/>
      <c r="M32" s="613"/>
      <c r="N32" s="599"/>
      <c r="O32" s="1581" t="s">
        <v>772</v>
      </c>
      <c r="P32" s="599"/>
      <c r="AK32" s="1687">
        <v>46</v>
      </c>
    </row>
    <row s="2850" customFormat="1" customHeight="1" ht="48.29999999999999">
      <c r="A33" s="2110"/>
      <c r="B33" s="2109" t="s">
        <v>813</v>
      </c>
      <c r="C33" s="2109" t="s">
        <v>814</v>
      </c>
      <c r="D33" s="2108" t="s">
        <v>750</v>
      </c>
      <c r="E33" s="2112" t="s">
        <v>761</v>
      </c>
      <c r="F33" s="2112" t="s">
        <v>761</v>
      </c>
      <c r="G33" s="1692"/>
      <c r="H33" s="2077"/>
      <c r="I33" s="1731">
        <v>14</v>
      </c>
      <c r="J33" s="2090" t="s">
        <v>815</v>
      </c>
      <c r="K33" s="2079" t="s">
        <v>816</v>
      </c>
      <c r="L33" s="783"/>
      <c r="M33" s="613"/>
      <c r="N33" s="599"/>
      <c r="O33" s="1581" t="s">
        <v>772</v>
      </c>
      <c r="P33" s="599"/>
      <c r="Q33" s="1692"/>
      <c r="R33" s="1692"/>
      <c r="W33" s="1692"/>
      <c r="Z33" s="600"/>
      <c r="AF33" s="1688"/>
      <c r="AG33" s="1688"/>
      <c r="AH33" s="1688"/>
      <c r="AI33" s="1688"/>
      <c r="AJ33" s="1688"/>
      <c r="AK33" s="1422">
        <v>46</v>
      </c>
    </row>
    <row customHeight="1" ht="108">
      <c r="A34" s="2110"/>
      <c r="B34" s="2109" t="s">
        <v>817</v>
      </c>
      <c r="C34" s="2109" t="s">
        <v>818</v>
      </c>
      <c r="D34" s="2108" t="s">
        <v>760</v>
      </c>
      <c r="E34" s="2112" t="s">
        <v>761</v>
      </c>
      <c r="F34" s="2112" t="s">
        <v>761</v>
      </c>
      <c r="G34" s="1692" t="s">
        <v>721</v>
      </c>
      <c r="H34" s="2077"/>
      <c r="I34" s="2088">
        <v>15</v>
      </c>
      <c r="J34" s="2089" t="s">
        <v>819</v>
      </c>
      <c r="K34" s="2074" t="s">
        <v>438</v>
      </c>
      <c r="L34" s="441"/>
      <c r="M34" s="1220"/>
      <c r="N34" s="599"/>
      <c r="O34" s="1581" t="s">
        <v>764</v>
      </c>
      <c r="P34" s="599"/>
      <c r="AK34" s="1687">
        <v>103</v>
      </c>
    </row>
    <row s="3442" customFormat="1" customHeight="1" ht="11.549999999999999">
      <c r="A35" s="1043"/>
      <c r="B35" s="1043"/>
      <c r="C35" s="1043"/>
      <c r="D35" s="1043"/>
      <c r="E35" s="1043"/>
      <c r="F35" s="1692"/>
      <c r="G35" s="1692"/>
      <c r="H35" s="407"/>
      <c r="N35" s="1422"/>
      <c r="P35" s="1422"/>
      <c r="Q35" s="1692"/>
      <c r="R35" s="1692"/>
      <c r="S35" s="1422"/>
      <c r="T35" s="1422"/>
      <c r="U35" s="1422"/>
      <c r="V35" s="1422"/>
      <c r="W35" s="1692"/>
      <c r="X35" s="1422"/>
      <c r="Y35" s="1422"/>
      <c r="Z35" s="600"/>
      <c r="AA35" s="1422"/>
      <c r="AB35" s="1422"/>
      <c r="AC35" s="1422"/>
      <c r="AD35" s="1422"/>
      <c r="AE35" s="1422"/>
      <c r="AF35" s="1688"/>
      <c r="AG35" s="678"/>
      <c r="AH35" s="678"/>
      <c r="AI35" s="678"/>
      <c r="AJ35" s="678"/>
      <c r="AK35" s="1697">
        <v>11</v>
      </c>
    </row>
    <row s="3442" customFormat="1" customHeight="1" ht="11.549999999999999">
      <c r="A36" s="1043"/>
      <c r="B36" s="1043"/>
      <c r="C36" s="1043"/>
      <c r="D36" s="1043"/>
      <c r="E36" s="1043"/>
      <c r="F36" s="1692"/>
      <c r="G36" s="1692"/>
      <c r="H36" s="407"/>
      <c r="N36" s="1422"/>
      <c r="P36" s="1422"/>
      <c r="Q36" s="1692"/>
      <c r="R36" s="1692"/>
      <c r="S36" s="1422"/>
      <c r="T36" s="1422"/>
      <c r="U36" s="1422"/>
      <c r="V36" s="1422"/>
      <c r="W36" s="1692"/>
      <c r="X36" s="1422"/>
      <c r="Y36" s="1422"/>
      <c r="Z36" s="600"/>
      <c r="AA36" s="1422"/>
      <c r="AB36" s="1422"/>
      <c r="AC36" s="1422"/>
      <c r="AD36" s="1422"/>
      <c r="AE36" s="1422"/>
      <c r="AF36" s="1688"/>
      <c r="AG36" s="678"/>
      <c r="AH36" s="678"/>
      <c r="AI36" s="678"/>
      <c r="AJ36" s="678"/>
      <c r="AK36" s="1697">
        <v>11</v>
      </c>
    </row>
    <row s="3442" customFormat="1" customHeight="1" ht="11.549999999999999">
      <c r="A37" s="1043"/>
      <c r="B37" s="1043"/>
      <c r="C37" s="1043"/>
      <c r="D37" s="1043"/>
      <c r="E37" s="1043"/>
      <c r="F37" s="1692"/>
      <c r="G37" s="1692"/>
      <c r="H37" s="407"/>
      <c r="L37" s="678"/>
      <c r="M37" s="678"/>
      <c r="N37" s="1422"/>
      <c r="P37" s="1422"/>
      <c r="Q37" s="1692"/>
      <c r="R37" s="1692"/>
      <c r="S37" s="1422"/>
      <c r="T37" s="1422"/>
      <c r="U37" s="1422"/>
      <c r="V37" s="1422"/>
      <c r="W37" s="1692"/>
      <c r="X37" s="1422"/>
      <c r="Y37" s="1422"/>
      <c r="Z37" s="600"/>
      <c r="AA37" s="1422"/>
      <c r="AB37" s="1422"/>
      <c r="AC37" s="1422"/>
      <c r="AD37" s="1422"/>
      <c r="AE37" s="1422"/>
      <c r="AF37" s="1688"/>
      <c r="AG37" s="678"/>
      <c r="AH37" s="678"/>
      <c r="AI37" s="678"/>
      <c r="AJ37" s="678"/>
      <c r="AK37" s="1697">
        <v>11</v>
      </c>
    </row>
    <row s="3442" customFormat="1" customHeight="1" ht="11.549999999999999">
      <c r="A38" s="1043"/>
      <c r="B38" s="1043"/>
      <c r="C38" s="1043"/>
      <c r="D38" s="1043"/>
      <c r="E38" s="1043"/>
      <c r="F38" s="1692"/>
      <c r="G38" s="1692"/>
      <c r="H38" s="407"/>
      <c r="N38" s="1422"/>
      <c r="P38" s="1422"/>
      <c r="Q38" s="1692"/>
      <c r="R38" s="1692"/>
      <c r="S38" s="1422"/>
      <c r="T38" s="1422"/>
      <c r="U38" s="1422"/>
      <c r="V38" s="1422"/>
      <c r="W38" s="1692"/>
      <c r="X38" s="1422"/>
      <c r="Y38" s="1422"/>
      <c r="Z38" s="600"/>
      <c r="AA38" s="1422"/>
      <c r="AB38" s="1422"/>
      <c r="AC38" s="1422"/>
      <c r="AD38" s="1422"/>
      <c r="AE38" s="1422"/>
      <c r="AF38" s="1688"/>
      <c r="AG38" s="678"/>
      <c r="AH38" s="678"/>
      <c r="AI38" s="678"/>
      <c r="AJ38" s="678"/>
      <c r="AK38" s="1697">
        <v>11</v>
      </c>
    </row>
    <row s="3442" customFormat="1" customHeight="1" ht="11.549999999999999">
      <c r="A39" s="1043"/>
      <c r="B39" s="1043"/>
      <c r="C39" s="1043"/>
      <c r="D39" s="1043"/>
      <c r="E39" s="1043"/>
      <c r="F39" s="1692"/>
      <c r="G39" s="1692"/>
      <c r="H39" s="407"/>
      <c r="N39" s="1422"/>
      <c r="P39" s="1422"/>
      <c r="Q39" s="1692"/>
      <c r="R39" s="1692"/>
      <c r="S39" s="1422"/>
      <c r="T39" s="1422"/>
      <c r="U39" s="1422"/>
      <c r="V39" s="1422"/>
      <c r="W39" s="1692"/>
      <c r="X39" s="1422"/>
      <c r="Y39" s="1422"/>
      <c r="Z39" s="600"/>
      <c r="AA39" s="1422"/>
      <c r="AB39" s="1422"/>
      <c r="AC39" s="1422"/>
      <c r="AD39" s="1422"/>
      <c r="AE39" s="1422"/>
      <c r="AF39" s="1688"/>
      <c r="AG39" s="678"/>
      <c r="AH39" s="678"/>
      <c r="AI39" s="678"/>
      <c r="AJ39" s="678"/>
      <c r="AK39" s="1697">
        <v>11</v>
      </c>
    </row>
    <row s="3442" customFormat="1" customHeight="1" ht="11.549999999999999">
      <c r="A40" s="1043"/>
      <c r="B40" s="1043"/>
      <c r="C40" s="1043"/>
      <c r="D40" s="1043"/>
      <c r="E40" s="1043"/>
      <c r="F40" s="1692"/>
      <c r="G40" s="1692"/>
      <c r="H40" s="407"/>
      <c r="N40" s="1422"/>
      <c r="P40" s="1422"/>
      <c r="Q40" s="1692"/>
      <c r="R40" s="1692"/>
      <c r="S40" s="1422"/>
      <c r="T40" s="1422"/>
      <c r="U40" s="1422"/>
      <c r="V40" s="1422"/>
      <c r="W40" s="1692"/>
      <c r="X40" s="1422"/>
      <c r="Y40" s="1422"/>
      <c r="Z40" s="600"/>
      <c r="AA40" s="1422"/>
      <c r="AB40" s="1422"/>
      <c r="AC40" s="1422"/>
      <c r="AD40" s="1422"/>
      <c r="AE40" s="1422"/>
      <c r="AF40" s="1688"/>
      <c r="AG40" s="678"/>
      <c r="AH40" s="678"/>
      <c r="AI40" s="678"/>
      <c r="AJ40" s="678"/>
      <c r="AK40" s="1697">
        <v>11</v>
      </c>
    </row>
    <row s="3442" customFormat="1" customHeight="1" ht="11.549999999999999">
      <c r="A41" s="1043"/>
      <c r="B41" s="1043"/>
      <c r="C41" s="1043"/>
      <c r="D41" s="1043"/>
      <c r="E41" s="1043"/>
      <c r="F41" s="1692"/>
      <c r="G41" s="1692"/>
      <c r="H41" s="407"/>
      <c r="N41" s="1422"/>
      <c r="P41" s="1422"/>
      <c r="Q41" s="1692"/>
      <c r="R41" s="1692"/>
      <c r="S41" s="1422"/>
      <c r="T41" s="1422"/>
      <c r="U41" s="1422"/>
      <c r="V41" s="1422"/>
      <c r="W41" s="1692"/>
      <c r="X41" s="1422"/>
      <c r="Y41" s="1422"/>
      <c r="Z41" s="600"/>
      <c r="AA41" s="1422"/>
      <c r="AB41" s="1422"/>
      <c r="AC41" s="1422"/>
      <c r="AD41" s="1422"/>
      <c r="AE41" s="1422"/>
      <c r="AF41" s="1688"/>
      <c r="AG41" s="678"/>
      <c r="AH41" s="678"/>
      <c r="AI41" s="678"/>
      <c r="AJ41" s="678"/>
      <c r="AK41" s="1697">
        <v>11</v>
      </c>
    </row>
    <row s="3442" customFormat="1" customHeight="1" ht="11.549999999999999">
      <c r="A42" s="1043"/>
      <c r="B42" s="1043"/>
      <c r="C42" s="1043"/>
      <c r="D42" s="1043"/>
      <c r="E42" s="1043"/>
      <c r="F42" s="1692"/>
      <c r="G42" s="1692"/>
      <c r="H42" s="407"/>
      <c r="N42" s="1422"/>
      <c r="P42" s="1422"/>
      <c r="Q42" s="1692"/>
      <c r="R42" s="1692"/>
      <c r="S42" s="1422"/>
      <c r="T42" s="1422"/>
      <c r="U42" s="1422"/>
      <c r="V42" s="1422"/>
      <c r="W42" s="1692"/>
      <c r="X42" s="1422"/>
      <c r="Y42" s="1422"/>
      <c r="Z42" s="600"/>
      <c r="AA42" s="1422"/>
      <c r="AB42" s="1422"/>
      <c r="AC42" s="1422"/>
      <c r="AD42" s="1422"/>
      <c r="AE42" s="1422"/>
      <c r="AF42" s="1688"/>
      <c r="AG42" s="678"/>
      <c r="AH42" s="678"/>
      <c r="AI42" s="678"/>
      <c r="AJ42" s="678"/>
      <c r="AK42" s="1697">
        <v>11</v>
      </c>
    </row>
    <row s="3442" customFormat="1" customHeight="1" ht="11.549999999999999">
      <c r="A43" s="1043"/>
      <c r="B43" s="1043"/>
      <c r="C43" s="1043"/>
      <c r="D43" s="1043"/>
      <c r="E43" s="1043"/>
      <c r="F43" s="1692"/>
      <c r="G43" s="1692"/>
      <c r="H43" s="407"/>
      <c r="N43" s="1422"/>
      <c r="P43" s="1422"/>
      <c r="Q43" s="1692"/>
      <c r="R43" s="1692"/>
      <c r="S43" s="1422"/>
      <c r="T43" s="1422"/>
      <c r="U43" s="1422"/>
      <c r="V43" s="1422"/>
      <c r="W43" s="1692"/>
      <c r="X43" s="1422"/>
      <c r="Y43" s="1422"/>
      <c r="Z43" s="600"/>
      <c r="AA43" s="1422"/>
      <c r="AB43" s="1422"/>
      <c r="AC43" s="1422"/>
      <c r="AD43" s="1422"/>
      <c r="AE43" s="1422"/>
      <c r="AF43" s="1688"/>
      <c r="AG43" s="678"/>
      <c r="AH43" s="678"/>
      <c r="AI43" s="678"/>
      <c r="AJ43" s="678"/>
      <c r="AK43" s="1697">
        <v>11</v>
      </c>
    </row>
    <row s="3442" customFormat="1" customHeight="1" ht="11.549999999999999">
      <c r="A44" s="1043"/>
      <c r="B44" s="1043"/>
      <c r="C44" s="1043"/>
      <c r="D44" s="1043"/>
      <c r="E44" s="1043"/>
      <c r="F44" s="1692"/>
      <c r="G44" s="1692"/>
      <c r="H44" s="407"/>
      <c r="N44" s="1422"/>
      <c r="P44" s="1422"/>
      <c r="Q44" s="1692"/>
      <c r="R44" s="1692"/>
      <c r="S44" s="1422"/>
      <c r="T44" s="1422"/>
      <c r="U44" s="1422"/>
      <c r="V44" s="1422"/>
      <c r="W44" s="1692"/>
      <c r="X44" s="1422"/>
      <c r="Y44" s="1422"/>
      <c r="Z44" s="600"/>
      <c r="AA44" s="1422"/>
      <c r="AB44" s="1422"/>
      <c r="AC44" s="1422"/>
      <c r="AD44" s="1422"/>
      <c r="AE44" s="1422"/>
      <c r="AF44" s="1688"/>
      <c r="AG44" s="678"/>
      <c r="AH44" s="678"/>
      <c r="AI44" s="678"/>
      <c r="AJ44" s="678"/>
      <c r="AK44" s="1697">
        <v>11</v>
      </c>
    </row>
    <row s="3442" customFormat="1" customHeight="1" ht="11.549999999999999">
      <c r="A45" s="1043"/>
      <c r="B45" s="1043"/>
      <c r="C45" s="1043"/>
      <c r="D45" s="1043"/>
      <c r="E45" s="1043"/>
      <c r="F45" s="1692"/>
      <c r="G45" s="1692"/>
      <c r="H45" s="407"/>
      <c r="N45" s="1422"/>
      <c r="P45" s="1422"/>
      <c r="Q45" s="1692"/>
      <c r="R45" s="1692"/>
      <c r="S45" s="1422"/>
      <c r="T45" s="1422"/>
      <c r="U45" s="1422"/>
      <c r="V45" s="1422"/>
      <c r="W45" s="1692"/>
      <c r="X45" s="1422"/>
      <c r="Y45" s="1422"/>
      <c r="Z45" s="600"/>
      <c r="AA45" s="1422"/>
      <c r="AB45" s="1422"/>
      <c r="AC45" s="1422"/>
      <c r="AD45" s="1422"/>
      <c r="AE45" s="1422"/>
      <c r="AF45" s="1688"/>
      <c r="AG45" s="678"/>
      <c r="AH45" s="678"/>
      <c r="AI45" s="678"/>
      <c r="AJ45" s="678"/>
      <c r="AK45" s="1697">
        <v>11</v>
      </c>
    </row>
    <row s="3442" customFormat="1" customHeight="1" ht="11.549999999999999">
      <c r="A46" s="1043"/>
      <c r="B46" s="1043"/>
      <c r="C46" s="1043"/>
      <c r="D46" s="1043"/>
      <c r="E46" s="1043"/>
      <c r="F46" s="1692"/>
      <c r="G46" s="1692"/>
      <c r="H46" s="407"/>
      <c r="N46" s="1422"/>
      <c r="P46" s="1422"/>
      <c r="Q46" s="1692"/>
      <c r="R46" s="1692"/>
      <c r="S46" s="1422"/>
      <c r="T46" s="1422"/>
      <c r="U46" s="1422"/>
      <c r="V46" s="1422"/>
      <c r="W46" s="1692"/>
      <c r="X46" s="1422"/>
      <c r="Y46" s="1422"/>
      <c r="Z46" s="600"/>
      <c r="AA46" s="1422"/>
      <c r="AB46" s="1422"/>
      <c r="AC46" s="1422"/>
      <c r="AD46" s="1422"/>
      <c r="AE46" s="1422"/>
      <c r="AF46" s="1688"/>
      <c r="AG46" s="678"/>
      <c r="AH46" s="678"/>
      <c r="AI46" s="678"/>
      <c r="AJ46" s="678"/>
      <c r="AK46" s="1697">
        <v>11</v>
      </c>
    </row>
    <row s="3442" customFormat="1" customHeight="1" ht="11.549999999999999">
      <c r="A47" s="1043"/>
      <c r="B47" s="1043"/>
      <c r="C47" s="1043"/>
      <c r="D47" s="1043"/>
      <c r="E47" s="1043"/>
      <c r="F47" s="1692"/>
      <c r="G47" s="1692"/>
      <c r="H47" s="407"/>
      <c r="N47" s="1422"/>
      <c r="P47" s="1422"/>
      <c r="Q47" s="1692"/>
      <c r="R47" s="1692"/>
      <c r="S47" s="1422"/>
      <c r="T47" s="1422"/>
      <c r="U47" s="1422"/>
      <c r="V47" s="1422"/>
      <c r="W47" s="1692"/>
      <c r="X47" s="1422"/>
      <c r="Y47" s="1422"/>
      <c r="Z47" s="600"/>
      <c r="AA47" s="1422"/>
      <c r="AB47" s="1422"/>
      <c r="AC47" s="1422"/>
      <c r="AD47" s="1422"/>
      <c r="AE47" s="1422"/>
      <c r="AF47" s="1688"/>
      <c r="AG47" s="678"/>
      <c r="AH47" s="678"/>
      <c r="AI47" s="678"/>
      <c r="AJ47" s="678"/>
      <c r="AK47" s="1697">
        <v>11</v>
      </c>
    </row>
    <row s="3442" customFormat="1" customHeight="1" ht="11.549999999999999">
      <c r="A48" s="1043"/>
      <c r="B48" s="1043"/>
      <c r="C48" s="1043"/>
      <c r="D48" s="1043"/>
      <c r="E48" s="1043"/>
      <c r="F48" s="1692"/>
      <c r="G48" s="1692"/>
      <c r="H48" s="407"/>
      <c r="N48" s="1422"/>
      <c r="P48" s="1422"/>
      <c r="Q48" s="1692"/>
      <c r="R48" s="1692"/>
      <c r="S48" s="1422"/>
      <c r="T48" s="1422"/>
      <c r="U48" s="1422"/>
      <c r="V48" s="1422"/>
      <c r="W48" s="1692"/>
      <c r="X48" s="1422"/>
      <c r="Y48" s="1422"/>
      <c r="Z48" s="600"/>
      <c r="AA48" s="1422"/>
      <c r="AB48" s="1422"/>
      <c r="AC48" s="1422"/>
      <c r="AD48" s="1422"/>
      <c r="AE48" s="1422"/>
      <c r="AF48" s="1688"/>
      <c r="AG48" s="678"/>
      <c r="AH48" s="678"/>
      <c r="AI48" s="678"/>
      <c r="AJ48" s="678"/>
      <c r="AK48" s="1697">
        <v>11</v>
      </c>
    </row>
    <row s="3442" customFormat="1" customHeight="1" ht="11.549999999999999">
      <c r="A49" s="1043"/>
      <c r="B49" s="1043"/>
      <c r="C49" s="1043"/>
      <c r="D49" s="1043"/>
      <c r="E49" s="1043"/>
      <c r="F49" s="1692"/>
      <c r="G49" s="1692"/>
      <c r="H49" s="407"/>
      <c r="N49" s="1422"/>
      <c r="P49" s="1422"/>
      <c r="Q49" s="1692"/>
      <c r="R49" s="1692"/>
      <c r="S49" s="1422"/>
      <c r="T49" s="1422"/>
      <c r="U49" s="1422"/>
      <c r="V49" s="1422"/>
      <c r="W49" s="1692"/>
      <c r="X49" s="1422"/>
      <c r="Y49" s="1422"/>
      <c r="Z49" s="600"/>
      <c r="AA49" s="1422"/>
      <c r="AB49" s="1422"/>
      <c r="AC49" s="1422"/>
      <c r="AD49" s="1422"/>
      <c r="AE49" s="1422"/>
      <c r="AF49" s="1688"/>
      <c r="AG49" s="678"/>
      <c r="AH49" s="678"/>
      <c r="AI49" s="678"/>
      <c r="AJ49" s="678"/>
      <c r="AK49" s="1697">
        <v>11</v>
      </c>
    </row>
    <row s="3442" customFormat="1" customHeight="1" ht="11.549999999999999">
      <c r="A50" s="1043"/>
      <c r="B50" s="1043"/>
      <c r="C50" s="1043"/>
      <c r="D50" s="1043"/>
      <c r="E50" s="1043"/>
      <c r="F50" s="1692"/>
      <c r="G50" s="1692"/>
      <c r="H50" s="407"/>
      <c r="N50" s="1422"/>
      <c r="P50" s="1422"/>
      <c r="Q50" s="1692"/>
      <c r="R50" s="1692"/>
      <c r="S50" s="1422"/>
      <c r="T50" s="1422"/>
      <c r="U50" s="1422"/>
      <c r="V50" s="1422"/>
      <c r="W50" s="1692"/>
      <c r="X50" s="1422"/>
      <c r="Y50" s="1422"/>
      <c r="Z50" s="600"/>
      <c r="AA50" s="1422"/>
      <c r="AB50" s="1422"/>
      <c r="AC50" s="1422"/>
      <c r="AD50" s="1422"/>
      <c r="AE50" s="1422"/>
      <c r="AF50" s="1688"/>
      <c r="AG50" s="678"/>
      <c r="AH50" s="678"/>
      <c r="AI50" s="678"/>
      <c r="AJ50" s="678"/>
      <c r="AK50" s="1697">
        <v>11</v>
      </c>
    </row>
    <row s="3442" customFormat="1" customHeight="1" ht="11.549999999999999">
      <c r="A51" s="1043"/>
      <c r="B51" s="1043"/>
      <c r="C51" s="1043"/>
      <c r="D51" s="1043"/>
      <c r="E51" s="1043"/>
      <c r="F51" s="1692"/>
      <c r="G51" s="1692"/>
      <c r="H51" s="407"/>
      <c r="N51" s="1422"/>
      <c r="P51" s="1422"/>
      <c r="Q51" s="1692"/>
      <c r="R51" s="1692"/>
      <c r="S51" s="1422"/>
      <c r="T51" s="1422"/>
      <c r="U51" s="1422"/>
      <c r="V51" s="1422"/>
      <c r="W51" s="1692"/>
      <c r="X51" s="1422"/>
      <c r="Y51" s="1422"/>
      <c r="Z51" s="600"/>
      <c r="AA51" s="1422"/>
      <c r="AB51" s="1422"/>
      <c r="AC51" s="1422"/>
      <c r="AD51" s="1422"/>
      <c r="AE51" s="1422"/>
      <c r="AF51" s="1688"/>
      <c r="AG51" s="678"/>
      <c r="AH51" s="678"/>
      <c r="AI51" s="678"/>
      <c r="AJ51" s="678"/>
      <c r="AK51" s="1697">
        <v>11</v>
      </c>
    </row>
    <row s="3442" customFormat="1" customHeight="1" ht="11.549999999999999">
      <c r="A52" s="1043"/>
      <c r="B52" s="1043"/>
      <c r="C52" s="1043"/>
      <c r="D52" s="1043"/>
      <c r="E52" s="1043"/>
      <c r="F52" s="1692"/>
      <c r="G52" s="1692"/>
      <c r="H52" s="407"/>
      <c r="N52" s="1422"/>
      <c r="P52" s="1422"/>
      <c r="Q52" s="1692"/>
      <c r="R52" s="1692"/>
      <c r="S52" s="1422"/>
      <c r="T52" s="1422"/>
      <c r="U52" s="1422"/>
      <c r="V52" s="1422"/>
      <c r="W52" s="1692"/>
      <c r="X52" s="1422"/>
      <c r="Y52" s="1422"/>
      <c r="Z52" s="600"/>
      <c r="AA52" s="1422"/>
      <c r="AB52" s="1422"/>
      <c r="AC52" s="1422"/>
      <c r="AD52" s="1422"/>
      <c r="AE52" s="1422"/>
      <c r="AF52" s="1688"/>
      <c r="AG52" s="678"/>
      <c r="AH52" s="678"/>
      <c r="AI52" s="678"/>
      <c r="AJ52" s="678"/>
      <c r="AK52" s="1697">
        <v>11</v>
      </c>
    </row>
    <row s="3442" customFormat="1" customHeight="1" ht="11.549999999999999">
      <c r="A53" s="1043"/>
      <c r="B53" s="1043"/>
      <c r="C53" s="1043"/>
      <c r="D53" s="1043"/>
      <c r="E53" s="1043"/>
      <c r="F53" s="1692"/>
      <c r="G53" s="1692"/>
      <c r="H53" s="407"/>
      <c r="N53" s="1422"/>
      <c r="P53" s="1422"/>
      <c r="Q53" s="1692"/>
      <c r="R53" s="1692"/>
      <c r="S53" s="1422"/>
      <c r="T53" s="1422"/>
      <c r="U53" s="1422"/>
      <c r="V53" s="1422"/>
      <c r="W53" s="1692"/>
      <c r="X53" s="1422"/>
      <c r="Y53" s="1422"/>
      <c r="Z53" s="600"/>
      <c r="AA53" s="1422"/>
      <c r="AB53" s="1422"/>
      <c r="AC53" s="1422"/>
      <c r="AD53" s="1422"/>
      <c r="AE53" s="1422"/>
      <c r="AF53" s="1688"/>
      <c r="AG53" s="678"/>
      <c r="AH53" s="678"/>
      <c r="AI53" s="678"/>
      <c r="AJ53" s="678"/>
      <c r="AK53" s="1697">
        <v>11</v>
      </c>
    </row>
    <row s="3442" customFormat="1" customHeight="1" ht="11.549999999999999">
      <c r="A54" s="1043"/>
      <c r="B54" s="1043"/>
      <c r="C54" s="1043"/>
      <c r="D54" s="1043"/>
      <c r="E54" s="1043"/>
      <c r="F54" s="1692"/>
      <c r="G54" s="1692"/>
      <c r="H54" s="407"/>
      <c r="N54" s="1422"/>
      <c r="P54" s="1422"/>
      <c r="Q54" s="1692"/>
      <c r="R54" s="1692"/>
      <c r="S54" s="1422"/>
      <c r="T54" s="1422"/>
      <c r="U54" s="1422"/>
      <c r="V54" s="1422"/>
      <c r="W54" s="1692"/>
      <c r="X54" s="1422"/>
      <c r="Y54" s="1422"/>
      <c r="Z54" s="600"/>
      <c r="AA54" s="1422"/>
      <c r="AB54" s="1422"/>
      <c r="AC54" s="1422"/>
      <c r="AD54" s="1422"/>
      <c r="AE54" s="1422"/>
      <c r="AF54" s="1688"/>
      <c r="AG54" s="678"/>
      <c r="AH54" s="678"/>
      <c r="AI54" s="678"/>
      <c r="AJ54" s="678"/>
      <c r="AK54" s="1697">
        <v>11</v>
      </c>
    </row>
    <row s="3442" customFormat="1" customHeight="1" ht="11.549999999999999">
      <c r="A55" s="1043"/>
      <c r="B55" s="1043"/>
      <c r="C55" s="1043"/>
      <c r="D55" s="1043"/>
      <c r="E55" s="1043"/>
      <c r="F55" s="1692"/>
      <c r="G55" s="1692"/>
      <c r="H55" s="407"/>
      <c r="N55" s="1422"/>
      <c r="P55" s="1422"/>
      <c r="Q55" s="1692"/>
      <c r="R55" s="1692"/>
      <c r="S55" s="1422"/>
      <c r="T55" s="1422"/>
      <c r="U55" s="1422"/>
      <c r="V55" s="1422"/>
      <c r="W55" s="1692"/>
      <c r="X55" s="1422"/>
      <c r="Y55" s="1422"/>
      <c r="Z55" s="600"/>
      <c r="AA55" s="1422"/>
      <c r="AB55" s="1422"/>
      <c r="AC55" s="1422"/>
      <c r="AD55" s="1422"/>
      <c r="AE55" s="1422"/>
      <c r="AF55" s="1688"/>
      <c r="AG55" s="678"/>
      <c r="AH55" s="678"/>
      <c r="AI55" s="678"/>
      <c r="AJ55" s="678"/>
      <c r="AK55" s="1697">
        <v>11</v>
      </c>
    </row>
    <row s="3442" customFormat="1" customHeight="1" ht="11.549999999999999">
      <c r="A56" s="1043"/>
      <c r="B56" s="1043"/>
      <c r="C56" s="1043"/>
      <c r="D56" s="1043"/>
      <c r="E56" s="1043"/>
      <c r="F56" s="1692"/>
      <c r="G56" s="1692"/>
      <c r="H56" s="407"/>
      <c r="N56" s="1422"/>
      <c r="P56" s="1422"/>
      <c r="Q56" s="1692"/>
      <c r="R56" s="1692"/>
      <c r="S56" s="1422"/>
      <c r="T56" s="1422"/>
      <c r="U56" s="1422"/>
      <c r="V56" s="1422"/>
      <c r="W56" s="1692"/>
      <c r="X56" s="1422"/>
      <c r="Y56" s="1422"/>
      <c r="Z56" s="600"/>
      <c r="AA56" s="1422"/>
      <c r="AB56" s="1422"/>
      <c r="AC56" s="1422"/>
      <c r="AD56" s="1422"/>
      <c r="AE56" s="1422"/>
      <c r="AF56" s="1688"/>
      <c r="AG56" s="678"/>
      <c r="AH56" s="678"/>
      <c r="AI56" s="678"/>
      <c r="AJ56" s="678"/>
      <c r="AK56" s="1697">
        <v>11</v>
      </c>
    </row>
    <row s="3442" customFormat="1" customHeight="1" ht="11.549999999999999">
      <c r="A57" s="1043"/>
      <c r="B57" s="1043"/>
      <c r="C57" s="1043"/>
      <c r="D57" s="1043"/>
      <c r="E57" s="1043"/>
      <c r="F57" s="1692"/>
      <c r="G57" s="1692"/>
      <c r="H57" s="407"/>
      <c r="N57" s="1422"/>
      <c r="P57" s="1422"/>
      <c r="Q57" s="1692"/>
      <c r="R57" s="1692"/>
      <c r="S57" s="1422"/>
      <c r="T57" s="1422"/>
      <c r="U57" s="1422"/>
      <c r="V57" s="1422"/>
      <c r="W57" s="1692"/>
      <c r="X57" s="1422"/>
      <c r="Y57" s="1422"/>
      <c r="Z57" s="600"/>
      <c r="AA57" s="1422"/>
      <c r="AB57" s="1422"/>
      <c r="AC57" s="1422"/>
      <c r="AD57" s="1422"/>
      <c r="AE57" s="1422"/>
      <c r="AF57" s="1688"/>
      <c r="AG57" s="678"/>
      <c r="AH57" s="678"/>
      <c r="AI57" s="678"/>
      <c r="AJ57" s="678"/>
      <c r="AK57" s="1697">
        <v>11</v>
      </c>
    </row>
    <row s="3442" customFormat="1" customHeight="1" ht="11.549999999999999">
      <c r="A58" s="1043"/>
      <c r="B58" s="1043"/>
      <c r="C58" s="1043"/>
      <c r="D58" s="1043"/>
      <c r="E58" s="1043"/>
      <c r="F58" s="1692"/>
      <c r="G58" s="1692"/>
      <c r="H58" s="407"/>
      <c r="N58" s="1422"/>
      <c r="P58" s="1422"/>
      <c r="Q58" s="1692"/>
      <c r="R58" s="1692"/>
      <c r="S58" s="1422"/>
      <c r="T58" s="1422"/>
      <c r="U58" s="1422"/>
      <c r="V58" s="1422"/>
      <c r="W58" s="1692"/>
      <c r="X58" s="1422"/>
      <c r="Y58" s="1422"/>
      <c r="Z58" s="600"/>
      <c r="AA58" s="1422"/>
      <c r="AB58" s="1422"/>
      <c r="AC58" s="1422"/>
      <c r="AD58" s="1422"/>
      <c r="AE58" s="1422"/>
      <c r="AF58" s="1688"/>
      <c r="AG58" s="678"/>
      <c r="AH58" s="678"/>
      <c r="AI58" s="678"/>
      <c r="AJ58" s="678"/>
      <c r="AK58" s="1697">
        <v>11</v>
      </c>
    </row>
    <row s="3442" customFormat="1" customHeight="1" ht="11.549999999999999">
      <c r="A59" s="1043"/>
      <c r="B59" s="1043"/>
      <c r="C59" s="1043"/>
      <c r="D59" s="1043"/>
      <c r="E59" s="1043"/>
      <c r="F59" s="1692"/>
      <c r="G59" s="1692"/>
      <c r="H59" s="407"/>
      <c r="N59" s="1422"/>
      <c r="P59" s="1422"/>
      <c r="Q59" s="1692"/>
      <c r="R59" s="1692"/>
      <c r="S59" s="1422"/>
      <c r="T59" s="1422"/>
      <c r="U59" s="1422"/>
      <c r="V59" s="1422"/>
      <c r="W59" s="1692"/>
      <c r="X59" s="1422"/>
      <c r="Y59" s="1422"/>
      <c r="Z59" s="600"/>
      <c r="AA59" s="1422"/>
      <c r="AB59" s="1422"/>
      <c r="AC59" s="1422"/>
      <c r="AD59" s="1422"/>
      <c r="AE59" s="1422"/>
      <c r="AF59" s="1688"/>
      <c r="AG59" s="678"/>
      <c r="AH59" s="678"/>
      <c r="AI59" s="678"/>
      <c r="AJ59" s="678"/>
      <c r="AK59" s="1697">
        <v>11</v>
      </c>
    </row>
    <row s="3442" customFormat="1" customHeight="1" ht="11.549999999999999">
      <c r="A60" s="1043"/>
      <c r="B60" s="1043"/>
      <c r="C60" s="1043"/>
      <c r="D60" s="1043"/>
      <c r="E60" s="1043"/>
      <c r="F60" s="1692"/>
      <c r="G60" s="1692"/>
      <c r="H60" s="407"/>
      <c r="N60" s="1422"/>
      <c r="P60" s="1422"/>
      <c r="Q60" s="1692"/>
      <c r="R60" s="1692"/>
      <c r="S60" s="1422"/>
      <c r="T60" s="1422"/>
      <c r="U60" s="1422"/>
      <c r="V60" s="1422"/>
      <c r="W60" s="1692"/>
      <c r="X60" s="1422"/>
      <c r="Y60" s="1422"/>
      <c r="Z60" s="600"/>
      <c r="AA60" s="1422"/>
      <c r="AB60" s="1422"/>
      <c r="AC60" s="1422"/>
      <c r="AD60" s="1422"/>
      <c r="AE60" s="1422"/>
      <c r="AF60" s="1688"/>
      <c r="AG60" s="678"/>
      <c r="AH60" s="678"/>
      <c r="AI60" s="678"/>
      <c r="AJ60" s="678"/>
      <c r="AK60" s="1697">
        <v>11</v>
      </c>
    </row>
    <row s="3442" customFormat="1" customHeight="1" ht="11.549999999999999">
      <c r="A61" s="1043"/>
      <c r="B61" s="1043"/>
      <c r="C61" s="1043"/>
      <c r="D61" s="1043"/>
      <c r="E61" s="1043"/>
      <c r="F61" s="1692"/>
      <c r="G61" s="1692"/>
      <c r="H61" s="407"/>
      <c r="N61" s="1422"/>
      <c r="P61" s="1422"/>
      <c r="Q61" s="1692"/>
      <c r="R61" s="1692"/>
      <c r="S61" s="1422"/>
      <c r="T61" s="1422"/>
      <c r="U61" s="1422"/>
      <c r="V61" s="1422"/>
      <c r="W61" s="1692"/>
      <c r="X61" s="1422"/>
      <c r="Y61" s="1422"/>
      <c r="Z61" s="600"/>
      <c r="AA61" s="1422"/>
      <c r="AB61" s="1422"/>
      <c r="AC61" s="1422"/>
      <c r="AD61" s="1422"/>
      <c r="AE61" s="1422"/>
      <c r="AF61" s="1688"/>
      <c r="AG61" s="678"/>
      <c r="AH61" s="678"/>
      <c r="AI61" s="678"/>
      <c r="AJ61" s="678"/>
      <c r="AK61" s="1697">
        <v>11</v>
      </c>
    </row>
    <row s="3442" customFormat="1" customHeight="1" ht="11.549999999999999">
      <c r="A62" s="1043"/>
      <c r="B62" s="1043"/>
      <c r="C62" s="1043"/>
      <c r="D62" s="1043"/>
      <c r="E62" s="1043"/>
      <c r="F62" s="1692"/>
      <c r="G62" s="1692"/>
      <c r="H62" s="407"/>
      <c r="N62" s="1422"/>
      <c r="P62" s="1422"/>
      <c r="Q62" s="1692"/>
      <c r="R62" s="1692"/>
      <c r="S62" s="1422"/>
      <c r="T62" s="1422"/>
      <c r="U62" s="1422"/>
      <c r="V62" s="1422"/>
      <c r="W62" s="1692"/>
      <c r="X62" s="1422"/>
      <c r="Y62" s="1422"/>
      <c r="Z62" s="600"/>
      <c r="AA62" s="1422"/>
      <c r="AB62" s="1422"/>
      <c r="AC62" s="1422"/>
      <c r="AD62" s="1422"/>
      <c r="AE62" s="1422"/>
      <c r="AF62" s="1688"/>
      <c r="AG62" s="678"/>
      <c r="AH62" s="678"/>
      <c r="AI62" s="678"/>
      <c r="AJ62" s="678"/>
      <c r="AK62" s="1697">
        <v>11</v>
      </c>
    </row>
    <row s="3442" customFormat="1" customHeight="1" ht="11.549999999999999">
      <c r="A63" s="1043"/>
      <c r="B63" s="1043"/>
      <c r="C63" s="1043"/>
      <c r="D63" s="1043"/>
      <c r="E63" s="1043"/>
      <c r="F63" s="1692"/>
      <c r="G63" s="1692"/>
      <c r="H63" s="407"/>
      <c r="N63" s="1422"/>
      <c r="P63" s="1422"/>
      <c r="Q63" s="1692"/>
      <c r="R63" s="1692"/>
      <c r="S63" s="1422"/>
      <c r="T63" s="1422"/>
      <c r="U63" s="1422"/>
      <c r="V63" s="1422"/>
      <c r="W63" s="1692"/>
      <c r="X63" s="1422"/>
      <c r="Y63" s="1422"/>
      <c r="Z63" s="600"/>
      <c r="AA63" s="1422"/>
      <c r="AB63" s="1422"/>
      <c r="AC63" s="1422"/>
      <c r="AD63" s="1422"/>
      <c r="AE63" s="1422"/>
      <c r="AF63" s="1688"/>
      <c r="AG63" s="678"/>
      <c r="AH63" s="678"/>
      <c r="AI63" s="678"/>
      <c r="AJ63" s="678"/>
      <c r="AK63" s="1697">
        <v>11</v>
      </c>
    </row>
    <row s="3442" customFormat="1" customHeight="1" ht="11.549999999999999">
      <c r="A64" s="1043"/>
      <c r="B64" s="1043"/>
      <c r="C64" s="1043"/>
      <c r="D64" s="1043"/>
      <c r="E64" s="1043"/>
      <c r="F64" s="1692"/>
      <c r="G64" s="1692"/>
      <c r="H64" s="407"/>
      <c r="N64" s="1422"/>
      <c r="P64" s="1422"/>
      <c r="Q64" s="1692"/>
      <c r="R64" s="1692"/>
      <c r="S64" s="1422"/>
      <c r="T64" s="1422"/>
      <c r="U64" s="1422"/>
      <c r="V64" s="1422"/>
      <c r="W64" s="1692"/>
      <c r="X64" s="1422"/>
      <c r="Y64" s="1422"/>
      <c r="Z64" s="600"/>
      <c r="AA64" s="1422"/>
      <c r="AB64" s="1422"/>
      <c r="AC64" s="1422"/>
      <c r="AD64" s="1422"/>
      <c r="AE64" s="1422"/>
      <c r="AF64" s="1688"/>
      <c r="AG64" s="678"/>
      <c r="AH64" s="678"/>
      <c r="AI64" s="678"/>
      <c r="AJ64" s="678"/>
      <c r="AK64" s="1697">
        <v>11</v>
      </c>
    </row>
    <row s="3442" customFormat="1" customHeight="1" ht="11.549999999999999">
      <c r="A65" s="1043"/>
      <c r="B65" s="1043"/>
      <c r="C65" s="1043"/>
      <c r="D65" s="1043"/>
      <c r="E65" s="1043"/>
      <c r="F65" s="1692"/>
      <c r="G65" s="1692"/>
      <c r="H65" s="407"/>
      <c r="N65" s="1422"/>
      <c r="P65" s="1422"/>
      <c r="Q65" s="1692"/>
      <c r="R65" s="1692"/>
      <c r="S65" s="1422"/>
      <c r="T65" s="1422"/>
      <c r="U65" s="1422"/>
      <c r="V65" s="1422"/>
      <c r="W65" s="1692"/>
      <c r="X65" s="1422"/>
      <c r="Y65" s="1422"/>
      <c r="Z65" s="600"/>
      <c r="AA65" s="1422"/>
      <c r="AB65" s="1422"/>
      <c r="AC65" s="1422"/>
      <c r="AD65" s="1422"/>
      <c r="AE65" s="1422"/>
      <c r="AF65" s="1688"/>
      <c r="AG65" s="678"/>
      <c r="AH65" s="678"/>
      <c r="AI65" s="678"/>
      <c r="AJ65" s="678"/>
      <c r="AK65" s="1697">
        <v>11</v>
      </c>
    </row>
    <row s="3442" customFormat="1" customHeight="1" ht="11.549999999999999">
      <c r="A66" s="1043"/>
      <c r="B66" s="1043"/>
      <c r="C66" s="1043"/>
      <c r="D66" s="1043"/>
      <c r="E66" s="1043"/>
      <c r="F66" s="1692"/>
      <c r="G66" s="1692"/>
      <c r="H66" s="407"/>
      <c r="N66" s="1422"/>
      <c r="P66" s="1422"/>
      <c r="Q66" s="1692"/>
      <c r="R66" s="1692"/>
      <c r="S66" s="1422"/>
      <c r="T66" s="1422"/>
      <c r="U66" s="1422"/>
      <c r="V66" s="1422"/>
      <c r="W66" s="1692"/>
      <c r="X66" s="1422"/>
      <c r="Y66" s="1422"/>
      <c r="Z66" s="600"/>
      <c r="AA66" s="1422"/>
      <c r="AB66" s="1422"/>
      <c r="AC66" s="1422"/>
      <c r="AD66" s="1422"/>
      <c r="AE66" s="1422"/>
      <c r="AF66" s="1688"/>
      <c r="AG66" s="678"/>
      <c r="AH66" s="678"/>
      <c r="AI66" s="678"/>
      <c r="AJ66" s="678"/>
      <c r="AK66" s="1697">
        <v>11</v>
      </c>
    </row>
    <row s="3442" customFormat="1" customHeight="1" ht="11.549999999999999">
      <c r="A67" s="1043"/>
      <c r="B67" s="1043"/>
      <c r="C67" s="1043"/>
      <c r="D67" s="1043"/>
      <c r="E67" s="1043"/>
      <c r="F67" s="1692"/>
      <c r="G67" s="1692"/>
      <c r="H67" s="407"/>
      <c r="N67" s="1422"/>
      <c r="P67" s="1422"/>
      <c r="Q67" s="1692"/>
      <c r="R67" s="1692"/>
      <c r="S67" s="1422"/>
      <c r="T67" s="1422"/>
      <c r="U67" s="1422"/>
      <c r="V67" s="1422"/>
      <c r="W67" s="1692"/>
      <c r="X67" s="1422"/>
      <c r="Y67" s="1422"/>
      <c r="Z67" s="600"/>
      <c r="AA67" s="1422"/>
      <c r="AB67" s="1422"/>
      <c r="AC67" s="1422"/>
      <c r="AD67" s="1422"/>
      <c r="AE67" s="1422"/>
      <c r="AF67" s="1688"/>
      <c r="AG67" s="678"/>
      <c r="AH67" s="678"/>
      <c r="AI67" s="678"/>
      <c r="AJ67" s="678"/>
      <c r="AK67" s="1697">
        <v>11</v>
      </c>
    </row>
    <row s="3442" customFormat="1" customHeight="1" ht="11.549999999999999">
      <c r="A68" s="1043"/>
      <c r="B68" s="1043"/>
      <c r="C68" s="1043"/>
      <c r="D68" s="1043"/>
      <c r="E68" s="1043"/>
      <c r="F68" s="1692"/>
      <c r="G68" s="1692"/>
      <c r="H68" s="407"/>
      <c r="N68" s="1422"/>
      <c r="P68" s="1422"/>
      <c r="Q68" s="1692"/>
      <c r="R68" s="1692"/>
      <c r="S68" s="1422"/>
      <c r="T68" s="1422"/>
      <c r="U68" s="1422"/>
      <c r="V68" s="1422"/>
      <c r="W68" s="1692"/>
      <c r="X68" s="1422"/>
      <c r="Y68" s="1422"/>
      <c r="Z68" s="600"/>
      <c r="AA68" s="1422"/>
      <c r="AB68" s="1422"/>
      <c r="AC68" s="1422"/>
      <c r="AD68" s="1422"/>
      <c r="AE68" s="1422"/>
      <c r="AF68" s="1688"/>
      <c r="AG68" s="678"/>
      <c r="AH68" s="678"/>
      <c r="AI68" s="678"/>
      <c r="AJ68" s="678"/>
      <c r="AK68" s="1697">
        <v>11</v>
      </c>
    </row>
    <row s="3442" customFormat="1" customHeight="1" ht="11.549999999999999">
      <c r="A69" s="1043"/>
      <c r="B69" s="1043"/>
      <c r="C69" s="1043"/>
      <c r="D69" s="1043"/>
      <c r="E69" s="1043"/>
      <c r="F69" s="1692"/>
      <c r="G69" s="1692"/>
      <c r="H69" s="407"/>
      <c r="N69" s="1422"/>
      <c r="P69" s="1422"/>
      <c r="Q69" s="1692"/>
      <c r="R69" s="1692"/>
      <c r="S69" s="1422"/>
      <c r="T69" s="1422"/>
      <c r="U69" s="1422"/>
      <c r="V69" s="1422"/>
      <c r="W69" s="1692"/>
      <c r="X69" s="1422"/>
      <c r="Y69" s="1422"/>
      <c r="Z69" s="600"/>
      <c r="AA69" s="1422"/>
      <c r="AB69" s="1422"/>
      <c r="AC69" s="1422"/>
      <c r="AD69" s="1422"/>
      <c r="AE69" s="1422"/>
      <c r="AF69" s="1688"/>
      <c r="AG69" s="678"/>
      <c r="AH69" s="678"/>
      <c r="AI69" s="678"/>
      <c r="AJ69" s="678"/>
      <c r="AK69" s="1697">
        <v>11</v>
      </c>
    </row>
    <row s="3442" customFormat="1" customHeight="1" ht="11.549999999999999">
      <c r="A70" s="1043"/>
      <c r="B70" s="1043"/>
      <c r="C70" s="1043"/>
      <c r="D70" s="1043"/>
      <c r="E70" s="1043"/>
      <c r="F70" s="1692"/>
      <c r="G70" s="1692"/>
      <c r="H70" s="407"/>
      <c r="N70" s="1422"/>
      <c r="P70" s="1422"/>
      <c r="Q70" s="1692"/>
      <c r="R70" s="1692"/>
      <c r="S70" s="1422"/>
      <c r="T70" s="1422"/>
      <c r="U70" s="1422"/>
      <c r="V70" s="1422"/>
      <c r="W70" s="1692"/>
      <c r="X70" s="1422"/>
      <c r="Y70" s="1422"/>
      <c r="Z70" s="600"/>
      <c r="AA70" s="1422"/>
      <c r="AB70" s="1422"/>
      <c r="AC70" s="1422"/>
      <c r="AD70" s="1422"/>
      <c r="AE70" s="1422"/>
      <c r="AF70" s="1688"/>
      <c r="AG70" s="678"/>
      <c r="AH70" s="678"/>
      <c r="AI70" s="678"/>
      <c r="AJ70" s="678"/>
      <c r="AK70" s="1697">
        <v>11</v>
      </c>
    </row>
    <row s="3442" customFormat="1" customHeight="1" ht="11.549999999999999">
      <c r="A71" s="1043"/>
      <c r="B71" s="1043"/>
      <c r="C71" s="1043"/>
      <c r="D71" s="1043"/>
      <c r="E71" s="1043"/>
      <c r="F71" s="1692"/>
      <c r="G71" s="1692"/>
      <c r="H71" s="407"/>
      <c r="N71" s="1422"/>
      <c r="P71" s="1422"/>
      <c r="Q71" s="1692"/>
      <c r="R71" s="1692"/>
      <c r="S71" s="1422"/>
      <c r="T71" s="1422"/>
      <c r="U71" s="1422"/>
      <c r="V71" s="1422"/>
      <c r="W71" s="1692"/>
      <c r="X71" s="1422"/>
      <c r="Y71" s="1422"/>
      <c r="Z71" s="600"/>
      <c r="AA71" s="1422"/>
      <c r="AB71" s="1422"/>
      <c r="AC71" s="1422"/>
      <c r="AD71" s="1422"/>
      <c r="AE71" s="1422"/>
      <c r="AF71" s="1688"/>
      <c r="AG71" s="678"/>
      <c r="AH71" s="678"/>
      <c r="AI71" s="678"/>
      <c r="AJ71" s="678"/>
      <c r="AK71" s="1697">
        <v>11</v>
      </c>
    </row>
    <row s="3442" customFormat="1" customHeight="1" ht="11.549999999999999">
      <c r="A72" s="1043"/>
      <c r="B72" s="1043"/>
      <c r="C72" s="1043"/>
      <c r="D72" s="1043"/>
      <c r="E72" s="1043"/>
      <c r="F72" s="1692"/>
      <c r="G72" s="1692"/>
      <c r="H72" s="407"/>
      <c r="N72" s="1422"/>
      <c r="P72" s="1422"/>
      <c r="Q72" s="1692"/>
      <c r="R72" s="1692"/>
      <c r="S72" s="1422"/>
      <c r="T72" s="1422"/>
      <c r="U72" s="1422"/>
      <c r="V72" s="1422"/>
      <c r="W72" s="1692"/>
      <c r="X72" s="1422"/>
      <c r="Y72" s="1422"/>
      <c r="Z72" s="600"/>
      <c r="AA72" s="1422"/>
      <c r="AB72" s="1422"/>
      <c r="AC72" s="1422"/>
      <c r="AD72" s="1422"/>
      <c r="AE72" s="1422"/>
      <c r="AF72" s="1688"/>
      <c r="AG72" s="678"/>
      <c r="AH72" s="678"/>
      <c r="AI72" s="678"/>
      <c r="AJ72" s="678"/>
      <c r="AK72" s="1697">
        <v>11</v>
      </c>
    </row>
    <row s="3442" customFormat="1" customHeight="1" ht="11.549999999999999">
      <c r="A73" s="1043"/>
      <c r="B73" s="1043"/>
      <c r="C73" s="1043"/>
      <c r="D73" s="1043"/>
      <c r="E73" s="1043"/>
      <c r="F73" s="1692"/>
      <c r="G73" s="1692"/>
      <c r="H73" s="407"/>
      <c r="N73" s="1422"/>
      <c r="P73" s="1422"/>
      <c r="Q73" s="1692"/>
      <c r="R73" s="1692"/>
      <c r="S73" s="1422"/>
      <c r="T73" s="1422"/>
      <c r="U73" s="1422"/>
      <c r="V73" s="1422"/>
      <c r="W73" s="1692"/>
      <c r="X73" s="1422"/>
      <c r="Y73" s="1422"/>
      <c r="Z73" s="600"/>
      <c r="AA73" s="1422"/>
      <c r="AB73" s="1422"/>
      <c r="AC73" s="1422"/>
      <c r="AD73" s="1422"/>
      <c r="AE73" s="1422"/>
      <c r="AF73" s="1688"/>
      <c r="AG73" s="678"/>
      <c r="AH73" s="678"/>
      <c r="AI73" s="678"/>
      <c r="AJ73" s="678"/>
      <c r="AK73" s="1697">
        <v>11</v>
      </c>
    </row>
    <row s="3442" customFormat="1" customHeight="1" ht="11.549999999999999">
      <c r="A74" s="1043"/>
      <c r="B74" s="1043"/>
      <c r="C74" s="1043"/>
      <c r="D74" s="1043"/>
      <c r="E74" s="1043"/>
      <c r="F74" s="1692"/>
      <c r="G74" s="1692"/>
      <c r="H74" s="407"/>
      <c r="N74" s="1422"/>
      <c r="P74" s="1422"/>
      <c r="Q74" s="1692"/>
      <c r="R74" s="1692"/>
      <c r="S74" s="1422"/>
      <c r="T74" s="1422"/>
      <c r="U74" s="1422"/>
      <c r="V74" s="1422"/>
      <c r="W74" s="1692"/>
      <c r="X74" s="1422"/>
      <c r="Y74" s="1422"/>
      <c r="Z74" s="600"/>
      <c r="AA74" s="1422"/>
      <c r="AB74" s="1422"/>
      <c r="AC74" s="1422"/>
      <c r="AD74" s="1422"/>
      <c r="AE74" s="1422"/>
      <c r="AF74" s="1688"/>
      <c r="AG74" s="678"/>
      <c r="AH74" s="678"/>
      <c r="AI74" s="678"/>
      <c r="AJ74" s="678"/>
      <c r="AK74" s="1697">
        <v>11</v>
      </c>
    </row>
    <row s="3442" customFormat="1" customHeight="1" ht="11.549999999999999">
      <c r="A75" s="1043"/>
      <c r="B75" s="1043"/>
      <c r="C75" s="1043"/>
      <c r="D75" s="1043"/>
      <c r="E75" s="1043"/>
      <c r="F75" s="1692"/>
      <c r="G75" s="1692"/>
      <c r="H75" s="407"/>
      <c r="N75" s="1422"/>
      <c r="P75" s="1422"/>
      <c r="Q75" s="1692"/>
      <c r="R75" s="1692"/>
      <c r="S75" s="1422"/>
      <c r="T75" s="1422"/>
      <c r="U75" s="1422"/>
      <c r="V75" s="1422"/>
      <c r="W75" s="1692"/>
      <c r="X75" s="1422"/>
      <c r="Y75" s="1422"/>
      <c r="Z75" s="600"/>
      <c r="AA75" s="1422"/>
      <c r="AB75" s="1422"/>
      <c r="AC75" s="1422"/>
      <c r="AD75" s="1422"/>
      <c r="AE75" s="1422"/>
      <c r="AF75" s="1688"/>
      <c r="AG75" s="678"/>
      <c r="AH75" s="678"/>
      <c r="AI75" s="678"/>
      <c r="AJ75" s="678"/>
      <c r="AK75" s="1697">
        <v>11</v>
      </c>
    </row>
    <row s="3442" customFormat="1" customHeight="1" ht="11.549999999999999">
      <c r="A76" s="1043"/>
      <c r="B76" s="1043"/>
      <c r="C76" s="1043"/>
      <c r="D76" s="1043"/>
      <c r="E76" s="1043"/>
      <c r="F76" s="1692"/>
      <c r="G76" s="1692"/>
      <c r="H76" s="407"/>
      <c r="N76" s="1422"/>
      <c r="P76" s="1422"/>
      <c r="Q76" s="1692"/>
      <c r="R76" s="1692"/>
      <c r="S76" s="1422"/>
      <c r="T76" s="1422"/>
      <c r="U76" s="1422"/>
      <c r="V76" s="1422"/>
      <c r="W76" s="1692"/>
      <c r="X76" s="1422"/>
      <c r="Y76" s="1422"/>
      <c r="Z76" s="600"/>
      <c r="AA76" s="1422"/>
      <c r="AB76" s="1422"/>
      <c r="AC76" s="1422"/>
      <c r="AD76" s="1422"/>
      <c r="AE76" s="1422"/>
      <c r="AF76" s="1688"/>
      <c r="AG76" s="678"/>
      <c r="AH76" s="678"/>
      <c r="AI76" s="678"/>
      <c r="AJ76" s="678"/>
      <c r="AK76" s="1697">
        <v>11</v>
      </c>
    </row>
    <row s="3442" customFormat="1" customHeight="1" ht="11.549999999999999">
      <c r="A77" s="1043"/>
      <c r="B77" s="1043"/>
      <c r="C77" s="1043"/>
      <c r="D77" s="1043"/>
      <c r="E77" s="1043"/>
      <c r="F77" s="1692"/>
      <c r="G77" s="1692"/>
      <c r="H77" s="407"/>
      <c r="N77" s="1422"/>
      <c r="P77" s="1422"/>
      <c r="Q77" s="1692"/>
      <c r="R77" s="1692"/>
      <c r="S77" s="1422"/>
      <c r="T77" s="1422"/>
      <c r="U77" s="1422"/>
      <c r="V77" s="1422"/>
      <c r="W77" s="1692"/>
      <c r="X77" s="1422"/>
      <c r="Y77" s="1422"/>
      <c r="Z77" s="600"/>
      <c r="AA77" s="1422"/>
      <c r="AB77" s="1422"/>
      <c r="AC77" s="1422"/>
      <c r="AD77" s="1422"/>
      <c r="AE77" s="1422"/>
      <c r="AF77" s="1688"/>
      <c r="AG77" s="678"/>
      <c r="AH77" s="678"/>
      <c r="AI77" s="678"/>
      <c r="AJ77" s="678"/>
      <c r="AK77" s="1697">
        <v>11</v>
      </c>
    </row>
    <row s="3442" customFormat="1" customHeight="1" ht="11.549999999999999">
      <c r="A78" s="1043"/>
      <c r="B78" s="1043"/>
      <c r="C78" s="1043"/>
      <c r="D78" s="1043"/>
      <c r="E78" s="1043"/>
      <c r="F78" s="1692"/>
      <c r="G78" s="1692"/>
      <c r="H78" s="407"/>
      <c r="N78" s="1422"/>
      <c r="P78" s="1422"/>
      <c r="Q78" s="1692"/>
      <c r="R78" s="1692"/>
      <c r="S78" s="1422"/>
      <c r="T78" s="1422"/>
      <c r="U78" s="1422"/>
      <c r="V78" s="1422"/>
      <c r="W78" s="1692"/>
      <c r="X78" s="1422"/>
      <c r="Y78" s="1422"/>
      <c r="Z78" s="600"/>
      <c r="AA78" s="1422"/>
      <c r="AB78" s="1422"/>
      <c r="AC78" s="1422"/>
      <c r="AD78" s="1422"/>
      <c r="AE78" s="1422"/>
      <c r="AF78" s="1688"/>
      <c r="AG78" s="678"/>
      <c r="AH78" s="678"/>
      <c r="AI78" s="678"/>
      <c r="AJ78" s="678"/>
      <c r="AK78" s="1697">
        <v>11</v>
      </c>
    </row>
    <row s="3442" customFormat="1" customHeight="1" ht="11.549999999999999">
      <c r="A79" s="1043"/>
      <c r="B79" s="1043"/>
      <c r="C79" s="1043"/>
      <c r="D79" s="1043"/>
      <c r="E79" s="1043"/>
      <c r="F79" s="1692"/>
      <c r="G79" s="1692"/>
      <c r="H79" s="407"/>
      <c r="N79" s="1422"/>
      <c r="P79" s="1422"/>
      <c r="Q79" s="1692"/>
      <c r="R79" s="1692"/>
      <c r="S79" s="1422"/>
      <c r="T79" s="1422"/>
      <c r="U79" s="1422"/>
      <c r="V79" s="1422"/>
      <c r="W79" s="1692"/>
      <c r="X79" s="1422"/>
      <c r="Y79" s="1422"/>
      <c r="Z79" s="600"/>
      <c r="AA79" s="1422"/>
      <c r="AB79" s="1422"/>
      <c r="AC79" s="1422"/>
      <c r="AD79" s="1422"/>
      <c r="AE79" s="1422"/>
      <c r="AF79" s="1688"/>
      <c r="AG79" s="678"/>
      <c r="AH79" s="678"/>
      <c r="AI79" s="678"/>
      <c r="AJ79" s="678"/>
      <c r="AK79" s="1697">
        <v>11</v>
      </c>
    </row>
    <row s="3442" customFormat="1" customHeight="1" ht="11.549999999999999">
      <c r="A80" s="1043"/>
      <c r="B80" s="1043"/>
      <c r="C80" s="1043"/>
      <c r="D80" s="1043"/>
      <c r="E80" s="1043"/>
      <c r="F80" s="1692"/>
      <c r="G80" s="1692"/>
      <c r="H80" s="407"/>
      <c r="N80" s="1422"/>
      <c r="P80" s="1422"/>
      <c r="Q80" s="1692"/>
      <c r="R80" s="1692"/>
      <c r="S80" s="1422"/>
      <c r="T80" s="1422"/>
      <c r="U80" s="1422"/>
      <c r="V80" s="1422"/>
      <c r="W80" s="1692"/>
      <c r="X80" s="1422"/>
      <c r="Y80" s="1422"/>
      <c r="Z80" s="600"/>
      <c r="AA80" s="1422"/>
      <c r="AB80" s="1422"/>
      <c r="AC80" s="1422"/>
      <c r="AD80" s="1422"/>
      <c r="AE80" s="1422"/>
      <c r="AF80" s="1688"/>
      <c r="AG80" s="678"/>
      <c r="AH80" s="678"/>
      <c r="AI80" s="678"/>
      <c r="AJ80" s="678"/>
      <c r="AK80" s="1697">
        <v>11</v>
      </c>
    </row>
    <row s="3442" customFormat="1" customHeight="1" ht="11.549999999999999">
      <c r="A81" s="1043"/>
      <c r="B81" s="1043"/>
      <c r="C81" s="1043"/>
      <c r="D81" s="1043"/>
      <c r="E81" s="1043"/>
      <c r="F81" s="1692"/>
      <c r="G81" s="1692"/>
      <c r="H81" s="407"/>
      <c r="N81" s="1422"/>
      <c r="P81" s="1422"/>
      <c r="Q81" s="1692"/>
      <c r="R81" s="1692"/>
      <c r="S81" s="1422"/>
      <c r="T81" s="1422"/>
      <c r="U81" s="1422"/>
      <c r="V81" s="1422"/>
      <c r="W81" s="1692"/>
      <c r="X81" s="1422"/>
      <c r="Y81" s="1422"/>
      <c r="Z81" s="600"/>
      <c r="AA81" s="1422"/>
      <c r="AB81" s="1422"/>
      <c r="AC81" s="1422"/>
      <c r="AD81" s="1422"/>
      <c r="AE81" s="1422"/>
      <c r="AF81" s="1688"/>
      <c r="AG81" s="678"/>
      <c r="AH81" s="678"/>
      <c r="AI81" s="678"/>
      <c r="AJ81" s="678"/>
      <c r="AK81" s="1697">
        <v>11</v>
      </c>
    </row>
    <row s="3442" customFormat="1" customHeight="1" ht="11.549999999999999">
      <c r="A82" s="1043"/>
      <c r="B82" s="1043"/>
      <c r="C82" s="1043"/>
      <c r="D82" s="1043"/>
      <c r="E82" s="1043"/>
      <c r="F82" s="1692"/>
      <c r="G82" s="1692"/>
      <c r="H82" s="407"/>
      <c r="N82" s="1422"/>
      <c r="P82" s="1422"/>
      <c r="Q82" s="1692"/>
      <c r="R82" s="1692"/>
      <c r="S82" s="1422"/>
      <c r="T82" s="1422"/>
      <c r="U82" s="1422"/>
      <c r="V82" s="1422"/>
      <c r="W82" s="1692"/>
      <c r="X82" s="1422"/>
      <c r="Y82" s="1422"/>
      <c r="Z82" s="600"/>
      <c r="AA82" s="1422"/>
      <c r="AB82" s="1422"/>
      <c r="AC82" s="1422"/>
      <c r="AD82" s="1422"/>
      <c r="AE82" s="1422"/>
      <c r="AF82" s="1688"/>
      <c r="AG82" s="678"/>
      <c r="AH82" s="678"/>
      <c r="AI82" s="678"/>
      <c r="AJ82" s="678"/>
      <c r="AK82" s="1697">
        <v>11</v>
      </c>
    </row>
    <row s="3442" customFormat="1" customHeight="1" ht="11.549999999999999">
      <c r="A83" s="1043"/>
      <c r="B83" s="1043"/>
      <c r="C83" s="1043"/>
      <c r="D83" s="1043"/>
      <c r="E83" s="1043"/>
      <c r="F83" s="1692"/>
      <c r="G83" s="1692"/>
      <c r="H83" s="407"/>
      <c r="N83" s="1422"/>
      <c r="P83" s="1422"/>
      <c r="Q83" s="1692"/>
      <c r="R83" s="1692"/>
      <c r="S83" s="1422"/>
      <c r="T83" s="1422"/>
      <c r="U83" s="1422"/>
      <c r="V83" s="1422"/>
      <c r="W83" s="1692"/>
      <c r="X83" s="1422"/>
      <c r="Y83" s="1422"/>
      <c r="Z83" s="600"/>
      <c r="AA83" s="1422"/>
      <c r="AB83" s="1422"/>
      <c r="AC83" s="1422"/>
      <c r="AD83" s="1422"/>
      <c r="AE83" s="1422"/>
      <c r="AF83" s="1688"/>
      <c r="AG83" s="678"/>
      <c r="AH83" s="678"/>
      <c r="AI83" s="678"/>
      <c r="AJ83" s="678"/>
      <c r="AK83" s="1697">
        <v>11</v>
      </c>
    </row>
    <row s="3442" customFormat="1" customHeight="1" ht="11.549999999999999">
      <c r="A84" s="1043"/>
      <c r="B84" s="1043"/>
      <c r="C84" s="1043"/>
      <c r="D84" s="1043"/>
      <c r="E84" s="1043"/>
      <c r="F84" s="1692"/>
      <c r="G84" s="1692"/>
      <c r="H84" s="407"/>
      <c r="N84" s="1422"/>
      <c r="P84" s="1422"/>
      <c r="Q84" s="1692"/>
      <c r="R84" s="1692"/>
      <c r="S84" s="1422"/>
      <c r="T84" s="1422"/>
      <c r="U84" s="1422"/>
      <c r="V84" s="1422"/>
      <c r="W84" s="1692"/>
      <c r="X84" s="1422"/>
      <c r="Y84" s="1422"/>
      <c r="Z84" s="600"/>
      <c r="AA84" s="1422"/>
      <c r="AB84" s="1422"/>
      <c r="AC84" s="1422"/>
      <c r="AD84" s="1422"/>
      <c r="AE84" s="1422"/>
      <c r="AF84" s="1688"/>
      <c r="AG84" s="678"/>
      <c r="AH84" s="678"/>
      <c r="AI84" s="678"/>
      <c r="AJ84" s="678"/>
      <c r="AK84" s="1697">
        <v>11</v>
      </c>
    </row>
    <row s="3442" customFormat="1" customHeight="1" ht="11.549999999999999">
      <c r="A85" s="1043"/>
      <c r="B85" s="1043"/>
      <c r="C85" s="1043"/>
      <c r="D85" s="1043"/>
      <c r="E85" s="1043"/>
      <c r="F85" s="1692"/>
      <c r="G85" s="1692"/>
      <c r="H85" s="407"/>
      <c r="N85" s="1422"/>
      <c r="P85" s="1422"/>
      <c r="Q85" s="1692"/>
      <c r="R85" s="1692"/>
      <c r="S85" s="1422"/>
      <c r="T85" s="1422"/>
      <c r="U85" s="1422"/>
      <c r="V85" s="1422"/>
      <c r="W85" s="1692"/>
      <c r="X85" s="1422"/>
      <c r="Y85" s="1422"/>
      <c r="Z85" s="600"/>
      <c r="AA85" s="1422"/>
      <c r="AB85" s="1422"/>
      <c r="AC85" s="1422"/>
      <c r="AD85" s="1422"/>
      <c r="AE85" s="1422"/>
      <c r="AF85" s="1688"/>
      <c r="AG85" s="678"/>
      <c r="AH85" s="678"/>
      <c r="AI85" s="678"/>
      <c r="AJ85" s="678"/>
      <c r="AK85" s="1697">
        <v>11</v>
      </c>
    </row>
    <row s="3442" customFormat="1" customHeight="1" ht="11.549999999999999">
      <c r="A86" s="1043"/>
      <c r="B86" s="1043"/>
      <c r="C86" s="1043"/>
      <c r="D86" s="1043"/>
      <c r="E86" s="1043"/>
      <c r="F86" s="1692"/>
      <c r="G86" s="1692"/>
      <c r="H86" s="407"/>
      <c r="N86" s="1422"/>
      <c r="P86" s="1422"/>
      <c r="Q86" s="1692"/>
      <c r="R86" s="1692"/>
      <c r="S86" s="1422"/>
      <c r="T86" s="1422"/>
      <c r="U86" s="1422"/>
      <c r="V86" s="1422"/>
      <c r="W86" s="1692"/>
      <c r="X86" s="1422"/>
      <c r="Y86" s="1422"/>
      <c r="Z86" s="600"/>
      <c r="AA86" s="1422"/>
      <c r="AB86" s="1422"/>
      <c r="AC86" s="1422"/>
      <c r="AD86" s="1422"/>
      <c r="AE86" s="1422"/>
      <c r="AF86" s="1688"/>
      <c r="AG86" s="678"/>
      <c r="AH86" s="678"/>
      <c r="AI86" s="678"/>
      <c r="AJ86" s="678"/>
      <c r="AK86" s="1697">
        <v>11</v>
      </c>
    </row>
    <row s="3442" customFormat="1" customHeight="1" ht="11.549999999999999">
      <c r="A87" s="1043"/>
      <c r="B87" s="1043"/>
      <c r="C87" s="1043"/>
      <c r="D87" s="1043"/>
      <c r="E87" s="1043"/>
      <c r="F87" s="1692"/>
      <c r="G87" s="1692"/>
      <c r="H87" s="407"/>
      <c r="N87" s="1422"/>
      <c r="P87" s="1422"/>
      <c r="Q87" s="1692"/>
      <c r="R87" s="1692"/>
      <c r="S87" s="1422"/>
      <c r="T87" s="1422"/>
      <c r="U87" s="1422"/>
      <c r="V87" s="1422"/>
      <c r="W87" s="1692"/>
      <c r="X87" s="1422"/>
      <c r="Y87" s="1422"/>
      <c r="Z87" s="600"/>
      <c r="AA87" s="1422"/>
      <c r="AB87" s="1422"/>
      <c r="AC87" s="1422"/>
      <c r="AD87" s="1422"/>
      <c r="AE87" s="1422"/>
      <c r="AF87" s="1688"/>
      <c r="AG87" s="678"/>
      <c r="AH87" s="678"/>
      <c r="AI87" s="678"/>
      <c r="AJ87" s="678"/>
      <c r="AK87" s="1697">
        <v>11</v>
      </c>
    </row>
    <row s="3442" customFormat="1" customHeight="1" ht="11.549999999999999">
      <c r="A88" s="1043"/>
      <c r="B88" s="1043"/>
      <c r="C88" s="1043"/>
      <c r="D88" s="1043"/>
      <c r="E88" s="1043"/>
      <c r="F88" s="1692"/>
      <c r="G88" s="1692"/>
      <c r="H88" s="407"/>
      <c r="N88" s="1422"/>
      <c r="P88" s="1422"/>
      <c r="Q88" s="1692"/>
      <c r="R88" s="1692"/>
      <c r="S88" s="1422"/>
      <c r="T88" s="1422"/>
      <c r="U88" s="1422"/>
      <c r="V88" s="1422"/>
      <c r="W88" s="1692"/>
      <c r="X88" s="1422"/>
      <c r="Y88" s="1422"/>
      <c r="Z88" s="600"/>
      <c r="AA88" s="1422"/>
      <c r="AB88" s="1422"/>
      <c r="AC88" s="1422"/>
      <c r="AD88" s="1422"/>
      <c r="AE88" s="1422"/>
      <c r="AF88" s="1688"/>
      <c r="AG88" s="678"/>
      <c r="AH88" s="678"/>
      <c r="AI88" s="678"/>
      <c r="AJ88" s="678"/>
      <c r="AK88" s="1697">
        <v>11</v>
      </c>
    </row>
    <row s="3442" customFormat="1" customHeight="1" ht="11.549999999999999">
      <c r="A89" s="1043"/>
      <c r="B89" s="1043"/>
      <c r="C89" s="1043"/>
      <c r="D89" s="1043"/>
      <c r="E89" s="1043"/>
      <c r="F89" s="1692"/>
      <c r="G89" s="1692"/>
      <c r="H89" s="407"/>
      <c r="N89" s="1422"/>
      <c r="P89" s="1422"/>
      <c r="Q89" s="1692"/>
      <c r="R89" s="1692"/>
      <c r="S89" s="1422"/>
      <c r="T89" s="1422"/>
      <c r="U89" s="1422"/>
      <c r="V89" s="1422"/>
      <c r="W89" s="1692"/>
      <c r="X89" s="1422"/>
      <c r="Y89" s="1422"/>
      <c r="Z89" s="600"/>
      <c r="AA89" s="1422"/>
      <c r="AB89" s="1422"/>
      <c r="AC89" s="1422"/>
      <c r="AD89" s="1422"/>
      <c r="AE89" s="1422"/>
      <c r="AF89" s="1688"/>
      <c r="AG89" s="678"/>
      <c r="AH89" s="678"/>
      <c r="AI89" s="678"/>
      <c r="AJ89" s="678"/>
      <c r="AK89" s="1697">
        <v>11</v>
      </c>
    </row>
    <row s="3442" customFormat="1" customHeight="1" ht="11.549999999999999">
      <c r="A90" s="1043"/>
      <c r="B90" s="1043"/>
      <c r="C90" s="1043"/>
      <c r="D90" s="1043"/>
      <c r="E90" s="1043"/>
      <c r="F90" s="1692"/>
      <c r="G90" s="1692"/>
      <c r="H90" s="407"/>
      <c r="N90" s="1422"/>
      <c r="P90" s="1422"/>
      <c r="Q90" s="1692"/>
      <c r="R90" s="1692"/>
      <c r="S90" s="1422"/>
      <c r="T90" s="1422"/>
      <c r="U90" s="1422"/>
      <c r="V90" s="1422"/>
      <c r="W90" s="1692"/>
      <c r="X90" s="1422"/>
      <c r="Y90" s="1422"/>
      <c r="Z90" s="600"/>
      <c r="AA90" s="1422"/>
      <c r="AB90" s="1422"/>
      <c r="AC90" s="1422"/>
      <c r="AD90" s="1422"/>
      <c r="AE90" s="1422"/>
      <c r="AF90" s="1688"/>
      <c r="AG90" s="678"/>
      <c r="AH90" s="678"/>
      <c r="AI90" s="678"/>
      <c r="AJ90" s="678"/>
      <c r="AK90" s="1697">
        <v>11</v>
      </c>
    </row>
    <row s="3442" customFormat="1" customHeight="1" ht="11.549999999999999">
      <c r="A91" s="1043"/>
      <c r="B91" s="1043"/>
      <c r="C91" s="1043"/>
      <c r="D91" s="1043"/>
      <c r="E91" s="1043"/>
      <c r="F91" s="1692"/>
      <c r="G91" s="1692"/>
      <c r="H91" s="407"/>
      <c r="N91" s="1422"/>
      <c r="P91" s="1422"/>
      <c r="Q91" s="1692"/>
      <c r="R91" s="1692"/>
      <c r="S91" s="1422"/>
      <c r="T91" s="1422"/>
      <c r="U91" s="1422"/>
      <c r="V91" s="1422"/>
      <c r="W91" s="1692"/>
      <c r="X91" s="1422"/>
      <c r="Y91" s="1422"/>
      <c r="Z91" s="600"/>
      <c r="AA91" s="1422"/>
      <c r="AB91" s="1422"/>
      <c r="AC91" s="1422"/>
      <c r="AD91" s="1422"/>
      <c r="AE91" s="1422"/>
      <c r="AF91" s="1688"/>
      <c r="AG91" s="678"/>
      <c r="AH91" s="678"/>
      <c r="AI91" s="678"/>
      <c r="AJ91" s="678"/>
      <c r="AK91" s="1697">
        <v>11</v>
      </c>
    </row>
    <row s="3442" customFormat="1" customHeight="1" ht="11.549999999999999">
      <c r="A92" s="1043"/>
      <c r="B92" s="1043"/>
      <c r="C92" s="1043"/>
      <c r="D92" s="1043"/>
      <c r="E92" s="1043"/>
      <c r="F92" s="1692"/>
      <c r="G92" s="1692"/>
      <c r="H92" s="407"/>
      <c r="N92" s="1422"/>
      <c r="P92" s="1422"/>
      <c r="Q92" s="1692"/>
      <c r="R92" s="1692"/>
      <c r="S92" s="1422"/>
      <c r="T92" s="1422"/>
      <c r="U92" s="1422"/>
      <c r="V92" s="1422"/>
      <c r="W92" s="1692"/>
      <c r="X92" s="1422"/>
      <c r="Y92" s="1422"/>
      <c r="Z92" s="600"/>
      <c r="AA92" s="1422"/>
      <c r="AB92" s="1422"/>
      <c r="AC92" s="1422"/>
      <c r="AD92" s="1422"/>
      <c r="AE92" s="1422"/>
      <c r="AF92" s="1688"/>
      <c r="AG92" s="678"/>
      <c r="AH92" s="678"/>
      <c r="AI92" s="678"/>
      <c r="AJ92" s="678"/>
      <c r="AK92" s="1697">
        <v>11</v>
      </c>
    </row>
    <row s="3442" customFormat="1" customHeight="1" ht="11.549999999999999">
      <c r="A93" s="1043"/>
      <c r="B93" s="1043"/>
      <c r="C93" s="1043"/>
      <c r="D93" s="1043"/>
      <c r="E93" s="1043"/>
      <c r="F93" s="1692"/>
      <c r="G93" s="1692"/>
      <c r="H93" s="407"/>
      <c r="N93" s="1422"/>
      <c r="P93" s="1422"/>
      <c r="Q93" s="1692"/>
      <c r="R93" s="1692"/>
      <c r="S93" s="1422"/>
      <c r="T93" s="1422"/>
      <c r="U93" s="1422"/>
      <c r="V93" s="1422"/>
      <c r="W93" s="1692"/>
      <c r="X93" s="1422"/>
      <c r="Y93" s="1422"/>
      <c r="Z93" s="600"/>
      <c r="AA93" s="1422"/>
      <c r="AB93" s="1422"/>
      <c r="AC93" s="1422"/>
      <c r="AD93" s="1422"/>
      <c r="AE93" s="1422"/>
      <c r="AF93" s="1688"/>
      <c r="AG93" s="678"/>
      <c r="AH93" s="678"/>
      <c r="AI93" s="678"/>
      <c r="AJ93" s="678"/>
      <c r="AK93" s="1697">
        <v>11</v>
      </c>
    </row>
    <row s="3442" customFormat="1" customHeight="1" ht="11.549999999999999">
      <c r="A94" s="1043"/>
      <c r="B94" s="1043"/>
      <c r="C94" s="1043"/>
      <c r="D94" s="1043"/>
      <c r="E94" s="1043"/>
      <c r="F94" s="1692"/>
      <c r="G94" s="1692"/>
      <c r="H94" s="407"/>
      <c r="N94" s="1422"/>
      <c r="P94" s="1422"/>
      <c r="Q94" s="1692"/>
      <c r="R94" s="1692"/>
      <c r="S94" s="1422"/>
      <c r="T94" s="1422"/>
      <c r="U94" s="1422"/>
      <c r="V94" s="1422"/>
      <c r="W94" s="1692"/>
      <c r="X94" s="1422"/>
      <c r="Y94" s="1422"/>
      <c r="Z94" s="600"/>
      <c r="AA94" s="1422"/>
      <c r="AB94" s="1422"/>
      <c r="AC94" s="1422"/>
      <c r="AD94" s="1422"/>
      <c r="AE94" s="1422"/>
      <c r="AF94" s="1688"/>
      <c r="AG94" s="678"/>
      <c r="AH94" s="678"/>
      <c r="AI94" s="678"/>
      <c r="AJ94" s="678"/>
      <c r="AK94" s="1697">
        <v>11</v>
      </c>
    </row>
    <row s="3442" customFormat="1" customHeight="1" ht="11.549999999999999">
      <c r="A95" s="1043"/>
      <c r="B95" s="1043"/>
      <c r="C95" s="1043"/>
      <c r="D95" s="1043"/>
      <c r="E95" s="1043"/>
      <c r="F95" s="1692"/>
      <c r="G95" s="1692"/>
      <c r="H95" s="407"/>
      <c r="N95" s="1422"/>
      <c r="P95" s="1422"/>
      <c r="Q95" s="1692"/>
      <c r="R95" s="1692"/>
      <c r="S95" s="1422"/>
      <c r="T95" s="1422"/>
      <c r="U95" s="1422"/>
      <c r="V95" s="1422"/>
      <c r="W95" s="1692"/>
      <c r="X95" s="1422"/>
      <c r="Y95" s="1422"/>
      <c r="Z95" s="600"/>
      <c r="AA95" s="1422"/>
      <c r="AB95" s="1422"/>
      <c r="AC95" s="1422"/>
      <c r="AD95" s="1422"/>
      <c r="AE95" s="1422"/>
      <c r="AF95" s="1688"/>
      <c r="AG95" s="678"/>
      <c r="AH95" s="678"/>
      <c r="AI95" s="678"/>
      <c r="AJ95" s="678"/>
      <c r="AK95" s="1697">
        <v>11</v>
      </c>
    </row>
    <row s="3442" customFormat="1" customHeight="1" ht="11.549999999999999">
      <c r="A96" s="1043"/>
      <c r="B96" s="1043"/>
      <c r="C96" s="1043"/>
      <c r="D96" s="1043"/>
      <c r="E96" s="1043"/>
      <c r="F96" s="1692"/>
      <c r="G96" s="1692"/>
      <c r="H96" s="407"/>
      <c r="N96" s="1422"/>
      <c r="P96" s="1422"/>
      <c r="Q96" s="1692"/>
      <c r="R96" s="1692"/>
      <c r="S96" s="1422"/>
      <c r="T96" s="1422"/>
      <c r="U96" s="1422"/>
      <c r="V96" s="1422"/>
      <c r="W96" s="1692"/>
      <c r="X96" s="1422"/>
      <c r="Y96" s="1422"/>
      <c r="Z96" s="600"/>
      <c r="AA96" s="1422"/>
      <c r="AB96" s="1422"/>
      <c r="AC96" s="1422"/>
      <c r="AD96" s="1422"/>
      <c r="AE96" s="1422"/>
      <c r="AF96" s="1688"/>
      <c r="AG96" s="678"/>
      <c r="AH96" s="678"/>
      <c r="AI96" s="678"/>
      <c r="AJ96" s="678"/>
      <c r="AK96" s="1697">
        <v>11</v>
      </c>
    </row>
    <row s="3442" customFormat="1" customHeight="1" ht="11.549999999999999">
      <c r="A97" s="1043"/>
      <c r="B97" s="1043"/>
      <c r="C97" s="1043"/>
      <c r="D97" s="1043"/>
      <c r="E97" s="1043"/>
      <c r="F97" s="1692"/>
      <c r="G97" s="1692"/>
      <c r="H97" s="407"/>
      <c r="N97" s="1422"/>
      <c r="P97" s="1422"/>
      <c r="Q97" s="1692"/>
      <c r="R97" s="1692"/>
      <c r="S97" s="1422"/>
      <c r="T97" s="1422"/>
      <c r="U97" s="1422"/>
      <c r="V97" s="1422"/>
      <c r="W97" s="1692"/>
      <c r="X97" s="1422"/>
      <c r="Y97" s="1422"/>
      <c r="Z97" s="600"/>
      <c r="AA97" s="1422"/>
      <c r="AB97" s="1422"/>
      <c r="AC97" s="1422"/>
      <c r="AD97" s="1422"/>
      <c r="AE97" s="1422"/>
      <c r="AF97" s="1688"/>
      <c r="AG97" s="678"/>
      <c r="AH97" s="678"/>
      <c r="AI97" s="678"/>
      <c r="AJ97" s="678"/>
      <c r="AK97" s="1697">
        <v>11</v>
      </c>
    </row>
    <row s="3442" customFormat="1" customHeight="1" ht="11.549999999999999">
      <c r="A98" s="1043"/>
      <c r="B98" s="1043"/>
      <c r="C98" s="1043"/>
      <c r="D98" s="1043"/>
      <c r="E98" s="1043"/>
      <c r="F98" s="1692"/>
      <c r="G98" s="1692"/>
      <c r="H98" s="407"/>
      <c r="N98" s="1422"/>
      <c r="P98" s="1422"/>
      <c r="Q98" s="1692"/>
      <c r="R98" s="1692"/>
      <c r="S98" s="1422"/>
      <c r="T98" s="1422"/>
      <c r="U98" s="1422"/>
      <c r="V98" s="1422"/>
      <c r="W98" s="1692"/>
      <c r="X98" s="1422"/>
      <c r="Y98" s="1422"/>
      <c r="Z98" s="600"/>
      <c r="AA98" s="1422"/>
      <c r="AB98" s="1422"/>
      <c r="AC98" s="1422"/>
      <c r="AD98" s="1422"/>
      <c r="AE98" s="1422"/>
      <c r="AF98" s="1688"/>
      <c r="AG98" s="678"/>
      <c r="AH98" s="678"/>
      <c r="AI98" s="678"/>
      <c r="AJ98" s="678"/>
      <c r="AK98" s="1697">
        <v>11</v>
      </c>
    </row>
    <row s="3442" customFormat="1" customHeight="1" ht="11.549999999999999">
      <c r="A99" s="1043"/>
      <c r="B99" s="1043"/>
      <c r="C99" s="1043"/>
      <c r="D99" s="1043"/>
      <c r="E99" s="1043"/>
      <c r="F99" s="1692"/>
      <c r="G99" s="1692"/>
      <c r="H99" s="407"/>
      <c r="N99" s="1422"/>
      <c r="P99" s="1422"/>
      <c r="Q99" s="1692"/>
      <c r="R99" s="1692"/>
      <c r="S99" s="1422"/>
      <c r="T99" s="1422"/>
      <c r="U99" s="1422"/>
      <c r="V99" s="1422"/>
      <c r="W99" s="1692"/>
      <c r="X99" s="1422"/>
      <c r="Y99" s="1422"/>
      <c r="Z99" s="600"/>
      <c r="AA99" s="1422"/>
      <c r="AB99" s="1422"/>
      <c r="AC99" s="1422"/>
      <c r="AD99" s="1422"/>
      <c r="AE99" s="1422"/>
      <c r="AF99" s="1688"/>
      <c r="AG99" s="678"/>
      <c r="AH99" s="678"/>
      <c r="AI99" s="678"/>
      <c r="AJ99" s="678"/>
      <c r="AK99" s="1697">
        <v>11</v>
      </c>
    </row>
    <row s="3442" customFormat="1" customHeight="1" ht="11.549999999999999">
      <c r="A100" s="1043"/>
      <c r="B100" s="1043"/>
      <c r="C100" s="1043"/>
      <c r="D100" s="1043"/>
      <c r="E100" s="1043"/>
      <c r="F100" s="1692"/>
      <c r="G100" s="1692"/>
      <c r="H100" s="407"/>
      <c r="N100" s="1422"/>
      <c r="P100" s="1422"/>
      <c r="Q100" s="1692"/>
      <c r="R100" s="1692"/>
      <c r="S100" s="1422"/>
      <c r="T100" s="1422"/>
      <c r="U100" s="1422"/>
      <c r="V100" s="1422"/>
      <c r="W100" s="1692"/>
      <c r="X100" s="1422"/>
      <c r="Y100" s="1422"/>
      <c r="Z100" s="600"/>
      <c r="AA100" s="1422"/>
      <c r="AB100" s="1422"/>
      <c r="AC100" s="1422"/>
      <c r="AD100" s="1422"/>
      <c r="AE100" s="1422"/>
      <c r="AF100" s="1688"/>
      <c r="AG100" s="678"/>
      <c r="AH100" s="678"/>
      <c r="AI100" s="678"/>
      <c r="AJ100" s="678"/>
      <c r="AK100" s="1697">
        <v>11</v>
      </c>
    </row>
    <row s="3442" customFormat="1" customHeight="1" ht="11.549999999999999">
      <c r="A101" s="1043"/>
      <c r="B101" s="1043"/>
      <c r="C101" s="1043"/>
      <c r="D101" s="1043"/>
      <c r="E101" s="1043"/>
      <c r="F101" s="1692"/>
      <c r="G101" s="1692"/>
      <c r="H101" s="407"/>
      <c r="N101" s="1422"/>
      <c r="P101" s="1422"/>
      <c r="Q101" s="1692"/>
      <c r="R101" s="1692"/>
      <c r="S101" s="1422"/>
      <c r="T101" s="1422"/>
      <c r="U101" s="1422"/>
      <c r="V101" s="1422"/>
      <c r="W101" s="1692"/>
      <c r="X101" s="1422"/>
      <c r="Y101" s="1422"/>
      <c r="Z101" s="600"/>
      <c r="AA101" s="1422"/>
      <c r="AB101" s="1422"/>
      <c r="AC101" s="1422"/>
      <c r="AD101" s="1422"/>
      <c r="AE101" s="1422"/>
      <c r="AF101" s="1688"/>
      <c r="AG101" s="678"/>
      <c r="AH101" s="678"/>
      <c r="AI101" s="678"/>
      <c r="AJ101" s="678"/>
      <c r="AK101" s="1697">
        <v>11</v>
      </c>
    </row>
    <row s="3442" customFormat="1" customHeight="1" ht="11.549999999999999">
      <c r="A102" s="1043"/>
      <c r="B102" s="1043"/>
      <c r="C102" s="1043"/>
      <c r="D102" s="1043"/>
      <c r="E102" s="1043"/>
      <c r="F102" s="1692"/>
      <c r="G102" s="1692"/>
      <c r="H102" s="407"/>
      <c r="N102" s="1422"/>
      <c r="P102" s="1422"/>
      <c r="Q102" s="1692"/>
      <c r="R102" s="1692"/>
      <c r="S102" s="1422"/>
      <c r="T102" s="1422"/>
      <c r="U102" s="1422"/>
      <c r="V102" s="1422"/>
      <c r="W102" s="1692"/>
      <c r="X102" s="1422"/>
      <c r="Y102" s="1422"/>
      <c r="Z102" s="600"/>
      <c r="AA102" s="1422"/>
      <c r="AB102" s="1422"/>
      <c r="AC102" s="1422"/>
      <c r="AD102" s="1422"/>
      <c r="AE102" s="1422"/>
      <c r="AF102" s="1688"/>
      <c r="AG102" s="678"/>
      <c r="AH102" s="678"/>
      <c r="AI102" s="678"/>
      <c r="AJ102" s="678"/>
      <c r="AK102" s="1697">
        <v>11</v>
      </c>
    </row>
    <row s="3442" customFormat="1" customHeight="1" ht="11.549999999999999">
      <c r="A103" s="1043"/>
      <c r="B103" s="1043"/>
      <c r="C103" s="1043"/>
      <c r="D103" s="1043"/>
      <c r="E103" s="1043"/>
      <c r="F103" s="1692"/>
      <c r="G103" s="1692"/>
      <c r="H103" s="407"/>
      <c r="N103" s="1422"/>
      <c r="P103" s="1422"/>
      <c r="Q103" s="1692"/>
      <c r="R103" s="1692"/>
      <c r="S103" s="1422"/>
      <c r="T103" s="1422"/>
      <c r="U103" s="1422"/>
      <c r="V103" s="1422"/>
      <c r="W103" s="1692"/>
      <c r="X103" s="1422"/>
      <c r="Y103" s="1422"/>
      <c r="Z103" s="600"/>
      <c r="AA103" s="1422"/>
      <c r="AB103" s="1422"/>
      <c r="AC103" s="1422"/>
      <c r="AD103" s="1422"/>
      <c r="AE103" s="1422"/>
      <c r="AF103" s="1688"/>
      <c r="AG103" s="678"/>
      <c r="AH103" s="678"/>
      <c r="AI103" s="678"/>
      <c r="AJ103" s="678"/>
      <c r="AK103" s="1697">
        <v>11</v>
      </c>
    </row>
    <row s="3442" customFormat="1" customHeight="1" ht="11.549999999999999">
      <c r="A104" s="1043"/>
      <c r="B104" s="1043"/>
      <c r="C104" s="1043"/>
      <c r="D104" s="1043"/>
      <c r="E104" s="1043"/>
      <c r="F104" s="1692"/>
      <c r="G104" s="1692"/>
      <c r="H104" s="407"/>
      <c r="N104" s="1422"/>
      <c r="P104" s="1422"/>
      <c r="Q104" s="1692"/>
      <c r="R104" s="1692"/>
      <c r="S104" s="1422"/>
      <c r="T104" s="1422"/>
      <c r="U104" s="1422"/>
      <c r="V104" s="1422"/>
      <c r="W104" s="1692"/>
      <c r="X104" s="1422"/>
      <c r="Y104" s="1422"/>
      <c r="Z104" s="600"/>
      <c r="AA104" s="1422"/>
      <c r="AB104" s="1422"/>
      <c r="AC104" s="1422"/>
      <c r="AD104" s="1422"/>
      <c r="AE104" s="1422"/>
      <c r="AF104" s="1688"/>
      <c r="AG104" s="678"/>
      <c r="AH104" s="678"/>
      <c r="AI104" s="678"/>
      <c r="AJ104" s="678"/>
      <c r="AK104" s="1697">
        <v>11</v>
      </c>
    </row>
    <row s="3442" customFormat="1" customHeight="1" ht="11.549999999999999">
      <c r="A105" s="1043"/>
      <c r="B105" s="1043"/>
      <c r="C105" s="1043"/>
      <c r="D105" s="1043"/>
      <c r="E105" s="1043"/>
      <c r="F105" s="1692"/>
      <c r="G105" s="1692"/>
      <c r="H105" s="407"/>
      <c r="N105" s="1422"/>
      <c r="P105" s="1422"/>
      <c r="Q105" s="1692"/>
      <c r="R105" s="1692"/>
      <c r="S105" s="1422"/>
      <c r="T105" s="1422"/>
      <c r="U105" s="1422"/>
      <c r="V105" s="1422"/>
      <c r="W105" s="1692"/>
      <c r="X105" s="1422"/>
      <c r="Y105" s="1422"/>
      <c r="Z105" s="600"/>
      <c r="AA105" s="1422"/>
      <c r="AB105" s="1422"/>
      <c r="AC105" s="1422"/>
      <c r="AD105" s="1422"/>
      <c r="AE105" s="1422"/>
      <c r="AF105" s="1688"/>
      <c r="AG105" s="678"/>
      <c r="AH105" s="678"/>
      <c r="AI105" s="678"/>
      <c r="AJ105" s="678"/>
      <c r="AK105" s="1697">
        <v>11</v>
      </c>
    </row>
    <row s="3442" customFormat="1" customHeight="1" ht="11.549999999999999">
      <c r="A106" s="1043"/>
      <c r="B106" s="1043"/>
      <c r="C106" s="1043"/>
      <c r="D106" s="1043"/>
      <c r="E106" s="1043"/>
      <c r="F106" s="1692"/>
      <c r="G106" s="1692"/>
      <c r="H106" s="407"/>
      <c r="N106" s="1422"/>
      <c r="P106" s="1422"/>
      <c r="Q106" s="1692"/>
      <c r="R106" s="1692"/>
      <c r="S106" s="1422"/>
      <c r="T106" s="1422"/>
      <c r="U106" s="1422"/>
      <c r="V106" s="1422"/>
      <c r="W106" s="1692"/>
      <c r="X106" s="1422"/>
      <c r="Y106" s="1422"/>
      <c r="Z106" s="600"/>
      <c r="AA106" s="1422"/>
      <c r="AB106" s="1422"/>
      <c r="AC106" s="1422"/>
      <c r="AD106" s="1422"/>
      <c r="AE106" s="1422"/>
      <c r="AF106" s="1688"/>
      <c r="AG106" s="678"/>
      <c r="AH106" s="678"/>
      <c r="AI106" s="678"/>
      <c r="AJ106" s="678"/>
      <c r="AK106" s="1697">
        <v>11</v>
      </c>
    </row>
    <row s="3442" customFormat="1" customHeight="1" ht="11.549999999999999">
      <c r="A107" s="1043"/>
      <c r="B107" s="1043"/>
      <c r="C107" s="1043"/>
      <c r="D107" s="1043"/>
      <c r="E107" s="1043"/>
      <c r="F107" s="1692"/>
      <c r="G107" s="1692"/>
      <c r="H107" s="407"/>
      <c r="N107" s="1422"/>
      <c r="P107" s="1422"/>
      <c r="Q107" s="1692"/>
      <c r="R107" s="1692"/>
      <c r="S107" s="1422"/>
      <c r="T107" s="1422"/>
      <c r="U107" s="1422"/>
      <c r="V107" s="1422"/>
      <c r="W107" s="1692"/>
      <c r="X107" s="1422"/>
      <c r="Y107" s="1422"/>
      <c r="Z107" s="600"/>
      <c r="AA107" s="1422"/>
      <c r="AB107" s="1422"/>
      <c r="AC107" s="1422"/>
      <c r="AD107" s="1422"/>
      <c r="AE107" s="1422"/>
      <c r="AF107" s="1688"/>
      <c r="AG107" s="678"/>
      <c r="AH107" s="678"/>
      <c r="AI107" s="678"/>
      <c r="AJ107" s="678"/>
      <c r="AK107" s="1697">
        <v>11</v>
      </c>
    </row>
    <row s="3442" customFormat="1" customHeight="1" ht="11.549999999999999">
      <c r="A108" s="1043"/>
      <c r="B108" s="1043"/>
      <c r="C108" s="1043"/>
      <c r="D108" s="1043"/>
      <c r="E108" s="1043"/>
      <c r="F108" s="1692"/>
      <c r="G108" s="1692"/>
      <c r="H108" s="407"/>
      <c r="N108" s="1422"/>
      <c r="P108" s="1422"/>
      <c r="Q108" s="1692"/>
      <c r="R108" s="1692"/>
      <c r="S108" s="1422"/>
      <c r="T108" s="1422"/>
      <c r="U108" s="1422"/>
      <c r="V108" s="1422"/>
      <c r="W108" s="1692"/>
      <c r="X108" s="1422"/>
      <c r="Y108" s="1422"/>
      <c r="Z108" s="600"/>
      <c r="AA108" s="1422"/>
      <c r="AB108" s="1422"/>
      <c r="AC108" s="1422"/>
      <c r="AD108" s="1422"/>
      <c r="AE108" s="1422"/>
      <c r="AF108" s="1688"/>
      <c r="AG108" s="678"/>
      <c r="AH108" s="678"/>
      <c r="AI108" s="678"/>
      <c r="AJ108" s="678"/>
      <c r="AK108" s="1697">
        <v>11</v>
      </c>
    </row>
    <row s="3442" customFormat="1" customHeight="1" ht="11.549999999999999">
      <c r="A109" s="1043"/>
      <c r="B109" s="1043"/>
      <c r="C109" s="1043"/>
      <c r="D109" s="1043"/>
      <c r="E109" s="1043"/>
      <c r="F109" s="1692"/>
      <c r="G109" s="1692"/>
      <c r="H109" s="407"/>
      <c r="N109" s="1422"/>
      <c r="P109" s="1422"/>
      <c r="Q109" s="1692"/>
      <c r="R109" s="1692"/>
      <c r="S109" s="1422"/>
      <c r="T109" s="1422"/>
      <c r="U109" s="1422"/>
      <c r="V109" s="1422"/>
      <c r="W109" s="1692"/>
      <c r="X109" s="1422"/>
      <c r="Y109" s="1422"/>
      <c r="Z109" s="600"/>
      <c r="AA109" s="1422"/>
      <c r="AB109" s="1422"/>
      <c r="AC109" s="1422"/>
      <c r="AD109" s="1422"/>
      <c r="AE109" s="1422"/>
      <c r="AF109" s="1688"/>
      <c r="AG109" s="678"/>
      <c r="AH109" s="678"/>
      <c r="AI109" s="678"/>
      <c r="AJ109" s="678"/>
      <c r="AK109" s="1697">
        <v>11</v>
      </c>
    </row>
    <row s="3442" customFormat="1" customHeight="1" ht="11.549999999999999">
      <c r="A110" s="1043"/>
      <c r="B110" s="1043"/>
      <c r="C110" s="1043"/>
      <c r="D110" s="1043"/>
      <c r="E110" s="1043"/>
      <c r="F110" s="1692"/>
      <c r="G110" s="1692"/>
      <c r="H110" s="407"/>
      <c r="N110" s="1422"/>
      <c r="P110" s="1422"/>
      <c r="Q110" s="1692"/>
      <c r="R110" s="1692"/>
      <c r="S110" s="1422"/>
      <c r="T110" s="1422"/>
      <c r="U110" s="1422"/>
      <c r="V110" s="1422"/>
      <c r="W110" s="1692"/>
      <c r="X110" s="1422"/>
      <c r="Y110" s="1422"/>
      <c r="Z110" s="600"/>
      <c r="AA110" s="1422"/>
      <c r="AB110" s="1422"/>
      <c r="AC110" s="1422"/>
      <c r="AD110" s="1422"/>
      <c r="AE110" s="1422"/>
      <c r="AF110" s="1688"/>
      <c r="AG110" s="678"/>
      <c r="AH110" s="678"/>
      <c r="AI110" s="678"/>
      <c r="AJ110" s="678"/>
      <c r="AK110" s="1697">
        <v>11</v>
      </c>
    </row>
    <row s="3442" customFormat="1" customHeight="1" ht="11.549999999999999">
      <c r="A111" s="1043"/>
      <c r="B111" s="1043"/>
      <c r="C111" s="1043"/>
      <c r="D111" s="1043"/>
      <c r="E111" s="1043"/>
      <c r="F111" s="1692"/>
      <c r="G111" s="1692"/>
      <c r="H111" s="407"/>
      <c r="N111" s="1422"/>
      <c r="P111" s="1422"/>
      <c r="Q111" s="1692"/>
      <c r="R111" s="1692"/>
      <c r="S111" s="1422"/>
      <c r="T111" s="1422"/>
      <c r="U111" s="1422"/>
      <c r="V111" s="1422"/>
      <c r="W111" s="1692"/>
      <c r="X111" s="1422"/>
      <c r="Y111" s="1422"/>
      <c r="Z111" s="600"/>
      <c r="AA111" s="1422"/>
      <c r="AB111" s="1422"/>
      <c r="AC111" s="1422"/>
      <c r="AD111" s="1422"/>
      <c r="AE111" s="1422"/>
      <c r="AF111" s="1688"/>
      <c r="AG111" s="678"/>
      <c r="AH111" s="678"/>
      <c r="AI111" s="678"/>
      <c r="AJ111" s="678"/>
      <c r="AK111" s="1697">
        <v>11</v>
      </c>
    </row>
    <row s="3442" customFormat="1" customHeight="1" ht="11.549999999999999">
      <c r="A112" s="1043"/>
      <c r="B112" s="1043"/>
      <c r="C112" s="1043"/>
      <c r="D112" s="1043"/>
      <c r="E112" s="1043"/>
      <c r="F112" s="1692"/>
      <c r="G112" s="1692"/>
      <c r="H112" s="407"/>
      <c r="N112" s="1422"/>
      <c r="P112" s="1422"/>
      <c r="Q112" s="1692"/>
      <c r="R112" s="1692"/>
      <c r="S112" s="1422"/>
      <c r="T112" s="1422"/>
      <c r="U112" s="1422"/>
      <c r="V112" s="1422"/>
      <c r="W112" s="1692"/>
      <c r="X112" s="1422"/>
      <c r="Y112" s="1422"/>
      <c r="Z112" s="600"/>
      <c r="AA112" s="1422"/>
      <c r="AB112" s="1422"/>
      <c r="AC112" s="1422"/>
      <c r="AD112" s="1422"/>
      <c r="AE112" s="1422"/>
      <c r="AF112" s="1688"/>
      <c r="AG112" s="678"/>
      <c r="AH112" s="678"/>
      <c r="AI112" s="678"/>
      <c r="AJ112" s="678"/>
      <c r="AK112" s="1697">
        <v>11</v>
      </c>
    </row>
    <row s="3442" customFormat="1" customHeight="1" ht="11.549999999999999">
      <c r="A113" s="1043"/>
      <c r="B113" s="1043"/>
      <c r="C113" s="1043"/>
      <c r="D113" s="1043"/>
      <c r="E113" s="1043"/>
      <c r="F113" s="1692"/>
      <c r="G113" s="1692"/>
      <c r="H113" s="407"/>
      <c r="N113" s="1422"/>
      <c r="P113" s="1422"/>
      <c r="Q113" s="1692"/>
      <c r="R113" s="1692"/>
      <c r="S113" s="1422"/>
      <c r="T113" s="1422"/>
      <c r="U113" s="1422"/>
      <c r="V113" s="1422"/>
      <c r="W113" s="1692"/>
      <c r="X113" s="1422"/>
      <c r="Y113" s="1422"/>
      <c r="Z113" s="600"/>
      <c r="AA113" s="1422"/>
      <c r="AB113" s="1422"/>
      <c r="AC113" s="1422"/>
      <c r="AD113" s="1422"/>
      <c r="AE113" s="1422"/>
      <c r="AF113" s="1688"/>
      <c r="AG113" s="678"/>
      <c r="AH113" s="678"/>
      <c r="AI113" s="678"/>
      <c r="AJ113" s="678"/>
      <c r="AK113" s="1697">
        <v>11</v>
      </c>
    </row>
    <row s="3442" customFormat="1" customHeight="1" ht="11.549999999999999">
      <c r="A114" s="1043"/>
      <c r="B114" s="1043"/>
      <c r="C114" s="1043"/>
      <c r="D114" s="1043"/>
      <c r="E114" s="1043"/>
      <c r="F114" s="1692"/>
      <c r="G114" s="1692"/>
      <c r="H114" s="407"/>
      <c r="N114" s="1422"/>
      <c r="P114" s="1422"/>
      <c r="Q114" s="1692"/>
      <c r="R114" s="1692"/>
      <c r="S114" s="1422"/>
      <c r="T114" s="1422"/>
      <c r="U114" s="1422"/>
      <c r="V114" s="1422"/>
      <c r="W114" s="1692"/>
      <c r="X114" s="1422"/>
      <c r="Y114" s="1422"/>
      <c r="Z114" s="600"/>
      <c r="AA114" s="1422"/>
      <c r="AB114" s="1422"/>
      <c r="AC114" s="1422"/>
      <c r="AD114" s="1422"/>
      <c r="AE114" s="1422"/>
      <c r="AF114" s="1688"/>
      <c r="AG114" s="678"/>
      <c r="AH114" s="678"/>
      <c r="AI114" s="678"/>
      <c r="AJ114" s="678"/>
      <c r="AK114" s="1697">
        <v>11</v>
      </c>
    </row>
    <row s="3442" customFormat="1" customHeight="1" ht="11.549999999999999">
      <c r="A115" s="1043"/>
      <c r="B115" s="1043"/>
      <c r="C115" s="1043"/>
      <c r="D115" s="1043"/>
      <c r="E115" s="1043"/>
      <c r="F115" s="1692"/>
      <c r="G115" s="1692"/>
      <c r="H115" s="407"/>
      <c r="N115" s="1422"/>
      <c r="P115" s="1422"/>
      <c r="Q115" s="1692"/>
      <c r="R115" s="1692"/>
      <c r="S115" s="1422"/>
      <c r="T115" s="1422"/>
      <c r="U115" s="1422"/>
      <c r="V115" s="1422"/>
      <c r="W115" s="1692"/>
      <c r="X115" s="1422"/>
      <c r="Y115" s="1422"/>
      <c r="Z115" s="600"/>
      <c r="AA115" s="1422"/>
      <c r="AB115" s="1422"/>
      <c r="AC115" s="1422"/>
      <c r="AD115" s="1422"/>
      <c r="AE115" s="1422"/>
      <c r="AF115" s="1688"/>
      <c r="AG115" s="678"/>
      <c r="AH115" s="678"/>
      <c r="AI115" s="678"/>
      <c r="AJ115" s="678"/>
      <c r="AK115" s="1697">
        <v>11</v>
      </c>
    </row>
    <row s="3442" customFormat="1" customHeight="1" ht="11.549999999999999">
      <c r="A116" s="1043"/>
      <c r="B116" s="1043"/>
      <c r="C116" s="1043"/>
      <c r="D116" s="1043"/>
      <c r="E116" s="1043"/>
      <c r="F116" s="1692"/>
      <c r="G116" s="1692"/>
      <c r="H116" s="407"/>
      <c r="N116" s="1422"/>
      <c r="P116" s="1422"/>
      <c r="Q116" s="1692"/>
      <c r="R116" s="1692"/>
      <c r="S116" s="1422"/>
      <c r="T116" s="1422"/>
      <c r="U116" s="1422"/>
      <c r="V116" s="1422"/>
      <c r="W116" s="1692"/>
      <c r="X116" s="1422"/>
      <c r="Y116" s="1422"/>
      <c r="Z116" s="600"/>
      <c r="AA116" s="1422"/>
      <c r="AB116" s="1422"/>
      <c r="AC116" s="1422"/>
      <c r="AD116" s="1422"/>
      <c r="AE116" s="1422"/>
      <c r="AF116" s="1688"/>
      <c r="AG116" s="678"/>
      <c r="AH116" s="678"/>
      <c r="AI116" s="678"/>
      <c r="AJ116" s="678"/>
      <c r="AK116" s="1697">
        <v>11</v>
      </c>
    </row>
    <row s="3442" customFormat="1" customHeight="1" ht="11.549999999999999">
      <c r="A117" s="1043"/>
      <c r="B117" s="1043"/>
      <c r="C117" s="1043"/>
      <c r="D117" s="1043"/>
      <c r="E117" s="1043"/>
      <c r="F117" s="1692"/>
      <c r="G117" s="1692"/>
      <c r="H117" s="407"/>
      <c r="N117" s="1422"/>
      <c r="P117" s="1422"/>
      <c r="Q117" s="1692"/>
      <c r="R117" s="1692"/>
      <c r="S117" s="1422"/>
      <c r="T117" s="1422"/>
      <c r="U117" s="1422"/>
      <c r="V117" s="1422"/>
      <c r="W117" s="1692"/>
      <c r="X117" s="1422"/>
      <c r="Y117" s="1422"/>
      <c r="Z117" s="600"/>
      <c r="AA117" s="1422"/>
      <c r="AB117" s="1422"/>
      <c r="AC117" s="1422"/>
      <c r="AD117" s="1422"/>
      <c r="AE117" s="1422"/>
      <c r="AF117" s="1688"/>
      <c r="AG117" s="678"/>
      <c r="AH117" s="678"/>
      <c r="AI117" s="678"/>
      <c r="AJ117" s="678"/>
      <c r="AK117" s="1697">
        <v>11</v>
      </c>
    </row>
    <row s="3442" customFormat="1" customHeight="1" ht="11.549999999999999">
      <c r="A118" s="1043"/>
      <c r="B118" s="1043"/>
      <c r="C118" s="1043"/>
      <c r="D118" s="1043"/>
      <c r="E118" s="1043"/>
      <c r="F118" s="1692"/>
      <c r="G118" s="1692"/>
      <c r="H118" s="407"/>
      <c r="N118" s="1422"/>
      <c r="P118" s="1422"/>
      <c r="Q118" s="1692"/>
      <c r="R118" s="1692"/>
      <c r="S118" s="1422"/>
      <c r="T118" s="1422"/>
      <c r="U118" s="1422"/>
      <c r="V118" s="1422"/>
      <c r="W118" s="1692"/>
      <c r="X118" s="1422"/>
      <c r="Y118" s="1422"/>
      <c r="Z118" s="600"/>
      <c r="AA118" s="1422"/>
      <c r="AB118" s="1422"/>
      <c r="AC118" s="1422"/>
      <c r="AD118" s="1422"/>
      <c r="AE118" s="1422"/>
      <c r="AF118" s="1688"/>
      <c r="AG118" s="678"/>
      <c r="AH118" s="678"/>
      <c r="AI118" s="678"/>
      <c r="AJ118" s="678"/>
      <c r="AK118" s="1697">
        <v>11</v>
      </c>
    </row>
    <row s="3442" customFormat="1" customHeight="1" ht="11.549999999999999">
      <c r="A119" s="1043"/>
      <c r="B119" s="1043"/>
      <c r="C119" s="1043"/>
      <c r="D119" s="1043"/>
      <c r="E119" s="1043"/>
      <c r="F119" s="1692"/>
      <c r="G119" s="1692"/>
      <c r="H119" s="407"/>
      <c r="N119" s="1422"/>
      <c r="P119" s="1422"/>
      <c r="Q119" s="1692"/>
      <c r="R119" s="1692"/>
      <c r="S119" s="1422"/>
      <c r="T119" s="1422"/>
      <c r="U119" s="1422"/>
      <c r="V119" s="1422"/>
      <c r="W119" s="1692"/>
      <c r="X119" s="1422"/>
      <c r="Y119" s="1422"/>
      <c r="Z119" s="600"/>
      <c r="AA119" s="1422"/>
      <c r="AB119" s="1422"/>
      <c r="AC119" s="1422"/>
      <c r="AD119" s="1422"/>
      <c r="AE119" s="1422"/>
      <c r="AF119" s="1688"/>
      <c r="AG119" s="678"/>
      <c r="AH119" s="678"/>
      <c r="AI119" s="678"/>
      <c r="AJ119" s="678"/>
      <c r="AK119" s="1697">
        <v>11</v>
      </c>
    </row>
    <row s="3442" customFormat="1" customHeight="1" ht="11.549999999999999">
      <c r="A120" s="1043"/>
      <c r="B120" s="1043"/>
      <c r="C120" s="1043"/>
      <c r="D120" s="1043"/>
      <c r="E120" s="1043"/>
      <c r="F120" s="1692"/>
      <c r="G120" s="1692"/>
      <c r="H120" s="407"/>
      <c r="N120" s="1422"/>
      <c r="P120" s="1422"/>
      <c r="Q120" s="1692"/>
      <c r="R120" s="1692"/>
      <c r="S120" s="1422"/>
      <c r="T120" s="1422"/>
      <c r="U120" s="1422"/>
      <c r="V120" s="1422"/>
      <c r="W120" s="1692"/>
      <c r="X120" s="1422"/>
      <c r="Y120" s="1422"/>
      <c r="Z120" s="600"/>
      <c r="AA120" s="1422"/>
      <c r="AB120" s="1422"/>
      <c r="AC120" s="1422"/>
      <c r="AD120" s="1422"/>
      <c r="AE120" s="1422"/>
      <c r="AF120" s="1688"/>
      <c r="AG120" s="678"/>
      <c r="AH120" s="678"/>
      <c r="AI120" s="678"/>
      <c r="AJ120" s="678"/>
      <c r="AK120" s="1697">
        <v>11</v>
      </c>
    </row>
    <row s="3442" customFormat="1" customHeight="1" ht="11.549999999999999">
      <c r="A121" s="1043"/>
      <c r="B121" s="1043"/>
      <c r="C121" s="1043"/>
      <c r="D121" s="1043"/>
      <c r="E121" s="1043"/>
      <c r="F121" s="1692"/>
      <c r="G121" s="1692"/>
      <c r="H121" s="407"/>
      <c r="N121" s="1422"/>
      <c r="P121" s="1422"/>
      <c r="Q121" s="1692"/>
      <c r="R121" s="1692"/>
      <c r="S121" s="1422"/>
      <c r="T121" s="1422"/>
      <c r="U121" s="1422"/>
      <c r="V121" s="1422"/>
      <c r="W121" s="1692"/>
      <c r="X121" s="1422"/>
      <c r="Y121" s="1422"/>
      <c r="Z121" s="600"/>
      <c r="AA121" s="1422"/>
      <c r="AB121" s="1422"/>
      <c r="AC121" s="1422"/>
      <c r="AD121" s="1422"/>
      <c r="AE121" s="1422"/>
      <c r="AF121" s="1688"/>
      <c r="AG121" s="678"/>
      <c r="AH121" s="678"/>
      <c r="AI121" s="678"/>
      <c r="AJ121" s="678"/>
      <c r="AK121" s="1697">
        <v>11</v>
      </c>
    </row>
    <row s="3442" customFormat="1" customHeight="1" ht="11.549999999999999">
      <c r="A122" s="1043"/>
      <c r="B122" s="1043"/>
      <c r="C122" s="1043"/>
      <c r="D122" s="1043"/>
      <c r="E122" s="1043"/>
      <c r="F122" s="1692"/>
      <c r="G122" s="1692"/>
      <c r="H122" s="407"/>
      <c r="N122" s="1422"/>
      <c r="P122" s="1422"/>
      <c r="Q122" s="1692"/>
      <c r="R122" s="1692"/>
      <c r="S122" s="1422"/>
      <c r="T122" s="1422"/>
      <c r="U122" s="1422"/>
      <c r="V122" s="1422"/>
      <c r="W122" s="1692"/>
      <c r="X122" s="1422"/>
      <c r="Y122" s="1422"/>
      <c r="Z122" s="600"/>
      <c r="AA122" s="1422"/>
      <c r="AB122" s="1422"/>
      <c r="AC122" s="1422"/>
      <c r="AD122" s="1422"/>
      <c r="AE122" s="1422"/>
      <c r="AF122" s="1688"/>
      <c r="AG122" s="678"/>
      <c r="AH122" s="678"/>
      <c r="AI122" s="678"/>
      <c r="AJ122" s="678"/>
      <c r="AK122" s="1697">
        <v>11</v>
      </c>
    </row>
    <row s="3442" customFormat="1" customHeight="1" ht="11.549999999999999">
      <c r="A123" s="1043"/>
      <c r="B123" s="1043"/>
      <c r="C123" s="1043"/>
      <c r="D123" s="1043"/>
      <c r="E123" s="1043"/>
      <c r="F123" s="1692"/>
      <c r="G123" s="1692"/>
      <c r="H123" s="407"/>
      <c r="N123" s="1422"/>
      <c r="P123" s="1422"/>
      <c r="Q123" s="1692"/>
      <c r="R123" s="1692"/>
      <c r="S123" s="1422"/>
      <c r="T123" s="1422"/>
      <c r="U123" s="1422"/>
      <c r="V123" s="1422"/>
      <c r="W123" s="1692"/>
      <c r="X123" s="1422"/>
      <c r="Y123" s="1422"/>
      <c r="Z123" s="600"/>
      <c r="AA123" s="1422"/>
      <c r="AB123" s="1422"/>
      <c r="AC123" s="1422"/>
      <c r="AD123" s="1422"/>
      <c r="AE123" s="1422"/>
      <c r="AF123" s="1688"/>
      <c r="AG123" s="678"/>
      <c r="AH123" s="678"/>
      <c r="AI123" s="678"/>
      <c r="AJ123" s="678"/>
      <c r="AK123" s="1697">
        <v>11</v>
      </c>
    </row>
    <row s="3442" customFormat="1" customHeight="1" ht="11.549999999999999">
      <c r="A124" s="1043"/>
      <c r="B124" s="1043"/>
      <c r="C124" s="1043"/>
      <c r="D124" s="1043"/>
      <c r="E124" s="1043"/>
      <c r="F124" s="1692"/>
      <c r="G124" s="1692"/>
      <c r="H124" s="407"/>
      <c r="N124" s="1422"/>
      <c r="P124" s="1422"/>
      <c r="Q124" s="1692"/>
      <c r="R124" s="1692"/>
      <c r="S124" s="1422"/>
      <c r="T124" s="1422"/>
      <c r="U124" s="1422"/>
      <c r="V124" s="1422"/>
      <c r="W124" s="1692"/>
      <c r="X124" s="1422"/>
      <c r="Y124" s="1422"/>
      <c r="Z124" s="600"/>
      <c r="AA124" s="1422"/>
      <c r="AB124" s="1422"/>
      <c r="AC124" s="1422"/>
      <c r="AD124" s="1422"/>
      <c r="AE124" s="1422"/>
      <c r="AF124" s="1688"/>
      <c r="AG124" s="678"/>
      <c r="AH124" s="678"/>
      <c r="AI124" s="678"/>
      <c r="AJ124" s="678"/>
      <c r="AK124" s="1697">
        <v>11</v>
      </c>
    </row>
    <row s="3442" customFormat="1" customHeight="1" ht="11.549999999999999">
      <c r="A125" s="1043"/>
      <c r="B125" s="1043"/>
      <c r="C125" s="1043"/>
      <c r="D125" s="1043"/>
      <c r="E125" s="1043"/>
      <c r="F125" s="1692"/>
      <c r="G125" s="1692"/>
      <c r="H125" s="407"/>
      <c r="N125" s="1422"/>
      <c r="P125" s="1422"/>
      <c r="Q125" s="1692"/>
      <c r="R125" s="1692"/>
      <c r="S125" s="1422"/>
      <c r="T125" s="1422"/>
      <c r="U125" s="1422"/>
      <c r="V125" s="1422"/>
      <c r="W125" s="1692"/>
      <c r="X125" s="1422"/>
      <c r="Y125" s="1422"/>
      <c r="Z125" s="600"/>
      <c r="AA125" s="1422"/>
      <c r="AB125" s="1422"/>
      <c r="AC125" s="1422"/>
      <c r="AD125" s="1422"/>
      <c r="AE125" s="1422"/>
      <c r="AF125" s="1688"/>
      <c r="AG125" s="678"/>
      <c r="AH125" s="678"/>
      <c r="AI125" s="678"/>
      <c r="AJ125" s="678"/>
      <c r="AK125" s="1697">
        <v>11</v>
      </c>
    </row>
    <row s="3442" customFormat="1" customHeight="1" ht="11.549999999999999">
      <c r="A126" s="1043"/>
      <c r="B126" s="1043"/>
      <c r="C126" s="1043"/>
      <c r="D126" s="1043"/>
      <c r="E126" s="1043"/>
      <c r="F126" s="1692"/>
      <c r="G126" s="1692"/>
      <c r="H126" s="407"/>
      <c r="N126" s="1422"/>
      <c r="P126" s="1422"/>
      <c r="Q126" s="1692"/>
      <c r="R126" s="1692"/>
      <c r="S126" s="1422"/>
      <c r="T126" s="1422"/>
      <c r="U126" s="1422"/>
      <c r="V126" s="1422"/>
      <c r="W126" s="1692"/>
      <c r="X126" s="1422"/>
      <c r="Y126" s="1422"/>
      <c r="Z126" s="600"/>
      <c r="AA126" s="1422"/>
      <c r="AB126" s="1422"/>
      <c r="AC126" s="1422"/>
      <c r="AD126" s="1422"/>
      <c r="AE126" s="1422"/>
      <c r="AF126" s="1688"/>
      <c r="AG126" s="678"/>
      <c r="AH126" s="678"/>
      <c r="AI126" s="678"/>
      <c r="AJ126" s="678"/>
      <c r="AK126" s="1697">
        <v>11</v>
      </c>
    </row>
    <row s="3442" customFormat="1" customHeight="1" ht="11.549999999999999">
      <c r="A127" s="1043"/>
      <c r="B127" s="1043"/>
      <c r="C127" s="1043"/>
      <c r="D127" s="1043"/>
      <c r="E127" s="1043"/>
      <c r="F127" s="1692"/>
      <c r="G127" s="1692"/>
      <c r="H127" s="407"/>
      <c r="N127" s="1422"/>
      <c r="P127" s="1422"/>
      <c r="Q127" s="1692"/>
      <c r="R127" s="1692"/>
      <c r="S127" s="1422"/>
      <c r="T127" s="1422"/>
      <c r="U127" s="1422"/>
      <c r="V127" s="1422"/>
      <c r="W127" s="1692"/>
      <c r="X127" s="1422"/>
      <c r="Y127" s="1422"/>
      <c r="Z127" s="600"/>
      <c r="AA127" s="1422"/>
      <c r="AB127" s="1422"/>
      <c r="AC127" s="1422"/>
      <c r="AD127" s="1422"/>
      <c r="AE127" s="1422"/>
      <c r="AF127" s="1688"/>
      <c r="AG127" s="678"/>
      <c r="AH127" s="678"/>
      <c r="AI127" s="678"/>
      <c r="AJ127" s="678"/>
      <c r="AK127" s="1697">
        <v>11</v>
      </c>
    </row>
    <row s="3442" customFormat="1" customHeight="1" ht="11.549999999999999">
      <c r="A128" s="1043"/>
      <c r="B128" s="1043"/>
      <c r="C128" s="1043"/>
      <c r="D128" s="1043"/>
      <c r="E128" s="1043"/>
      <c r="F128" s="1692"/>
      <c r="G128" s="1692"/>
      <c r="H128" s="407"/>
      <c r="N128" s="1422"/>
      <c r="P128" s="1422"/>
      <c r="Q128" s="1692"/>
      <c r="R128" s="1692"/>
      <c r="S128" s="1422"/>
      <c r="T128" s="1422"/>
      <c r="U128" s="1422"/>
      <c r="V128" s="1422"/>
      <c r="W128" s="1692"/>
      <c r="X128" s="1422"/>
      <c r="Y128" s="1422"/>
      <c r="Z128" s="600"/>
      <c r="AA128" s="1422"/>
      <c r="AB128" s="1422"/>
      <c r="AC128" s="1422"/>
      <c r="AD128" s="1422"/>
      <c r="AE128" s="1422"/>
      <c r="AF128" s="1688"/>
      <c r="AG128" s="678"/>
      <c r="AH128" s="678"/>
      <c r="AI128" s="678"/>
      <c r="AJ128" s="678"/>
      <c r="AK128" s="1697">
        <v>11</v>
      </c>
    </row>
    <row s="3442" customFormat="1" customHeight="1" ht="11.549999999999999">
      <c r="A129" s="1043"/>
      <c r="B129" s="1043"/>
      <c r="C129" s="1043"/>
      <c r="D129" s="1043"/>
      <c r="E129" s="1043"/>
      <c r="F129" s="1692"/>
      <c r="G129" s="1692"/>
      <c r="H129" s="407"/>
      <c r="N129" s="1422"/>
      <c r="P129" s="1422"/>
      <c r="Q129" s="1692"/>
      <c r="R129" s="1692"/>
      <c r="S129" s="1422"/>
      <c r="T129" s="1422"/>
      <c r="U129" s="1422"/>
      <c r="V129" s="1422"/>
      <c r="W129" s="1692"/>
      <c r="X129" s="1422"/>
      <c r="Y129" s="1422"/>
      <c r="Z129" s="600"/>
      <c r="AA129" s="1422"/>
      <c r="AB129" s="1422"/>
      <c r="AC129" s="1422"/>
      <c r="AD129" s="1422"/>
      <c r="AE129" s="1422"/>
      <c r="AF129" s="1688"/>
      <c r="AG129" s="678"/>
      <c r="AH129" s="678"/>
      <c r="AI129" s="678"/>
      <c r="AJ129" s="678"/>
      <c r="AK129" s="1697">
        <v>11</v>
      </c>
    </row>
    <row s="3442" customFormat="1" customHeight="1" ht="11.549999999999999">
      <c r="A130" s="1043"/>
      <c r="B130" s="1043"/>
      <c r="C130" s="1043"/>
      <c r="D130" s="1043"/>
      <c r="E130" s="1043"/>
      <c r="F130" s="1692"/>
      <c r="G130" s="1692"/>
      <c r="H130" s="407"/>
      <c r="N130" s="1422"/>
      <c r="P130" s="1422"/>
      <c r="Q130" s="1692"/>
      <c r="R130" s="1692"/>
      <c r="S130" s="1422"/>
      <c r="T130" s="1422"/>
      <c r="U130" s="1422"/>
      <c r="V130" s="1422"/>
      <c r="W130" s="1692"/>
      <c r="X130" s="1422"/>
      <c r="Y130" s="1422"/>
      <c r="Z130" s="600"/>
      <c r="AA130" s="1422"/>
      <c r="AB130" s="1422"/>
      <c r="AC130" s="1422"/>
      <c r="AD130" s="1422"/>
      <c r="AE130" s="1422"/>
      <c r="AF130" s="1688"/>
      <c r="AG130" s="678"/>
      <c r="AH130" s="678"/>
      <c r="AI130" s="678"/>
      <c r="AJ130" s="678"/>
      <c r="AK130" s="1697">
        <v>11</v>
      </c>
    </row>
    <row s="3442" customFormat="1" customHeight="1" ht="11.549999999999999">
      <c r="A131" s="1043"/>
      <c r="B131" s="1043"/>
      <c r="C131" s="1043"/>
      <c r="D131" s="1043"/>
      <c r="E131" s="1043"/>
      <c r="F131" s="1692"/>
      <c r="G131" s="1692"/>
      <c r="H131" s="407"/>
      <c r="N131" s="1422"/>
      <c r="P131" s="1422"/>
      <c r="Q131" s="1692"/>
      <c r="R131" s="1692"/>
      <c r="S131" s="1422"/>
      <c r="T131" s="1422"/>
      <c r="U131" s="1422"/>
      <c r="V131" s="1422"/>
      <c r="W131" s="1692"/>
      <c r="X131" s="1422"/>
      <c r="Y131" s="1422"/>
      <c r="Z131" s="600"/>
      <c r="AA131" s="1422"/>
      <c r="AB131" s="1422"/>
      <c r="AC131" s="1422"/>
      <c r="AD131" s="1422"/>
      <c r="AE131" s="1422"/>
      <c r="AF131" s="1688"/>
      <c r="AG131" s="678"/>
      <c r="AH131" s="678"/>
      <c r="AI131" s="678"/>
      <c r="AJ131" s="678"/>
      <c r="AK131" s="1697">
        <v>11</v>
      </c>
    </row>
    <row s="3442" customFormat="1" customHeight="1" ht="11.549999999999999">
      <c r="A132" s="1043"/>
      <c r="B132" s="1043"/>
      <c r="C132" s="1043"/>
      <c r="D132" s="1043"/>
      <c r="E132" s="1043"/>
      <c r="F132" s="1692"/>
      <c r="G132" s="1692"/>
      <c r="H132" s="407"/>
      <c r="N132" s="1422"/>
      <c r="P132" s="1422"/>
      <c r="Q132" s="1692"/>
      <c r="R132" s="1692"/>
      <c r="S132" s="1422"/>
      <c r="T132" s="1422"/>
      <c r="U132" s="1422"/>
      <c r="V132" s="1422"/>
      <c r="W132" s="1692"/>
      <c r="X132" s="1422"/>
      <c r="Y132" s="1422"/>
      <c r="Z132" s="600"/>
      <c r="AA132" s="1422"/>
      <c r="AB132" s="1422"/>
      <c r="AC132" s="1422"/>
      <c r="AD132" s="1422"/>
      <c r="AE132" s="1422"/>
      <c r="AF132" s="1688"/>
      <c r="AG132" s="678"/>
      <c r="AH132" s="678"/>
      <c r="AI132" s="678"/>
      <c r="AJ132" s="678"/>
      <c r="AK132" s="1697">
        <v>11</v>
      </c>
    </row>
    <row s="3442" customFormat="1" customHeight="1" ht="11.549999999999999">
      <c r="A133" s="1043"/>
      <c r="B133" s="1043"/>
      <c r="C133" s="1043"/>
      <c r="D133" s="1043"/>
      <c r="E133" s="1043"/>
      <c r="F133" s="1692"/>
      <c r="G133" s="1692"/>
      <c r="H133" s="407"/>
      <c r="N133" s="1422"/>
      <c r="P133" s="1422"/>
      <c r="Q133" s="1692"/>
      <c r="R133" s="1692"/>
      <c r="S133" s="1422"/>
      <c r="T133" s="1422"/>
      <c r="U133" s="1422"/>
      <c r="V133" s="1422"/>
      <c r="W133" s="1692"/>
      <c r="X133" s="1422"/>
      <c r="Y133" s="1422"/>
      <c r="Z133" s="600"/>
      <c r="AA133" s="1422"/>
      <c r="AB133" s="1422"/>
      <c r="AC133" s="1422"/>
      <c r="AD133" s="1422"/>
      <c r="AE133" s="1422"/>
      <c r="AF133" s="1688"/>
      <c r="AG133" s="678"/>
      <c r="AH133" s="678"/>
      <c r="AI133" s="678"/>
      <c r="AJ133" s="678"/>
      <c r="AK133" s="1697">
        <v>11</v>
      </c>
    </row>
    <row s="3442" customFormat="1" customHeight="1" ht="11.549999999999999">
      <c r="A134" s="1043"/>
      <c r="B134" s="1043"/>
      <c r="C134" s="1043"/>
      <c r="D134" s="1043"/>
      <c r="E134" s="1043"/>
      <c r="F134" s="1692"/>
      <c r="G134" s="1692"/>
      <c r="H134" s="407"/>
      <c r="N134" s="1422"/>
      <c r="P134" s="1422"/>
      <c r="Q134" s="1692"/>
      <c r="R134" s="1692"/>
      <c r="S134" s="1422"/>
      <c r="T134" s="1422"/>
      <c r="U134" s="1422"/>
      <c r="V134" s="1422"/>
      <c r="W134" s="1692"/>
      <c r="X134" s="1422"/>
      <c r="Y134" s="1422"/>
      <c r="Z134" s="600"/>
      <c r="AA134" s="1422"/>
      <c r="AB134" s="1422"/>
      <c r="AC134" s="1422"/>
      <c r="AD134" s="1422"/>
      <c r="AE134" s="1422"/>
      <c r="AF134" s="1688"/>
      <c r="AG134" s="678"/>
      <c r="AH134" s="678"/>
      <c r="AI134" s="678"/>
      <c r="AJ134" s="678"/>
      <c r="AK134" s="1697">
        <v>11</v>
      </c>
    </row>
    <row s="3442" customFormat="1" customHeight="1" ht="11.549999999999999">
      <c r="A135" s="1043"/>
      <c r="B135" s="1043"/>
      <c r="C135" s="1043"/>
      <c r="D135" s="1043"/>
      <c r="E135" s="1043"/>
      <c r="F135" s="1692"/>
      <c r="G135" s="1692"/>
      <c r="H135" s="407"/>
      <c r="N135" s="1422"/>
      <c r="P135" s="1422"/>
      <c r="Q135" s="1692"/>
      <c r="R135" s="1692"/>
      <c r="S135" s="1422"/>
      <c r="T135" s="1422"/>
      <c r="U135" s="1422"/>
      <c r="V135" s="1422"/>
      <c r="W135" s="1692"/>
      <c r="X135" s="1422"/>
      <c r="Y135" s="1422"/>
      <c r="Z135" s="600"/>
      <c r="AA135" s="1422"/>
      <c r="AB135" s="1422"/>
      <c r="AC135" s="1422"/>
      <c r="AD135" s="1422"/>
      <c r="AE135" s="1422"/>
      <c r="AF135" s="1688"/>
      <c r="AG135" s="678"/>
      <c r="AH135" s="678"/>
      <c r="AI135" s="678"/>
      <c r="AJ135" s="678"/>
      <c r="AK135" s="1697">
        <v>11</v>
      </c>
    </row>
    <row s="3442" customFormat="1" customHeight="1" ht="11.549999999999999">
      <c r="A136" s="1043"/>
      <c r="B136" s="1043"/>
      <c r="C136" s="1043"/>
      <c r="D136" s="1043"/>
      <c r="E136" s="1043"/>
      <c r="F136" s="1692"/>
      <c r="G136" s="1692"/>
      <c r="H136" s="407"/>
      <c r="N136" s="1422"/>
      <c r="P136" s="1422"/>
      <c r="Q136" s="1692"/>
      <c r="R136" s="1692"/>
      <c r="S136" s="1422"/>
      <c r="T136" s="1422"/>
      <c r="U136" s="1422"/>
      <c r="V136" s="1422"/>
      <c r="W136" s="1692"/>
      <c r="X136" s="1422"/>
      <c r="Y136" s="1422"/>
      <c r="Z136" s="600"/>
      <c r="AA136" s="1422"/>
      <c r="AB136" s="1422"/>
      <c r="AC136" s="1422"/>
      <c r="AD136" s="1422"/>
      <c r="AE136" s="1422"/>
      <c r="AF136" s="1688"/>
      <c r="AG136" s="678"/>
      <c r="AH136" s="678"/>
      <c r="AI136" s="678"/>
      <c r="AJ136" s="678"/>
      <c r="AK136" s="1697">
        <v>11</v>
      </c>
    </row>
    <row s="3442" customFormat="1" customHeight="1" ht="11.549999999999999">
      <c r="A137" s="1043"/>
      <c r="B137" s="1043"/>
      <c r="C137" s="1043"/>
      <c r="D137" s="1043"/>
      <c r="E137" s="1043"/>
      <c r="F137" s="1692"/>
      <c r="G137" s="1692"/>
      <c r="H137" s="407"/>
      <c r="N137" s="1422"/>
      <c r="P137" s="1422"/>
      <c r="Q137" s="1692"/>
      <c r="R137" s="1692"/>
      <c r="S137" s="1422"/>
      <c r="T137" s="1422"/>
      <c r="U137" s="1422"/>
      <c r="V137" s="1422"/>
      <c r="W137" s="1692"/>
      <c r="X137" s="1422"/>
      <c r="Y137" s="1422"/>
      <c r="Z137" s="600"/>
      <c r="AA137" s="1422"/>
      <c r="AB137" s="1422"/>
      <c r="AC137" s="1422"/>
      <c r="AD137" s="1422"/>
      <c r="AE137" s="1422"/>
      <c r="AF137" s="1688"/>
      <c r="AG137" s="678"/>
      <c r="AH137" s="678"/>
      <c r="AI137" s="678"/>
      <c r="AJ137" s="678"/>
      <c r="AK137" s="1697">
        <v>11</v>
      </c>
    </row>
    <row s="3442" customFormat="1" customHeight="1" ht="11.549999999999999">
      <c r="A138" s="1043"/>
      <c r="B138" s="1043"/>
      <c r="C138" s="1043"/>
      <c r="D138" s="1043"/>
      <c r="E138" s="1043"/>
      <c r="F138" s="1692"/>
      <c r="G138" s="1692"/>
      <c r="H138" s="407"/>
      <c r="N138" s="1422"/>
      <c r="P138" s="1422"/>
      <c r="Q138" s="1692"/>
      <c r="R138" s="1692"/>
      <c r="S138" s="1422"/>
      <c r="T138" s="1422"/>
      <c r="U138" s="1422"/>
      <c r="V138" s="1422"/>
      <c r="W138" s="1692"/>
      <c r="X138" s="1422"/>
      <c r="Y138" s="1422"/>
      <c r="Z138" s="600"/>
      <c r="AA138" s="1422"/>
      <c r="AB138" s="1422"/>
      <c r="AC138" s="1422"/>
      <c r="AD138" s="1422"/>
      <c r="AE138" s="1422"/>
      <c r="AF138" s="1688"/>
      <c r="AG138" s="678"/>
      <c r="AH138" s="678"/>
      <c r="AI138" s="678"/>
      <c r="AJ138" s="678"/>
      <c r="AK138" s="1697">
        <v>11</v>
      </c>
    </row>
    <row s="3442" customFormat="1" customHeight="1" ht="11.549999999999999">
      <c r="A139" s="1043"/>
      <c r="B139" s="1043"/>
      <c r="C139" s="1043"/>
      <c r="D139" s="1043"/>
      <c r="E139" s="1043"/>
      <c r="F139" s="1692"/>
      <c r="G139" s="1692"/>
      <c r="H139" s="407"/>
      <c r="N139" s="1422"/>
      <c r="P139" s="1422"/>
      <c r="Q139" s="1692"/>
      <c r="R139" s="1692"/>
      <c r="S139" s="1422"/>
      <c r="T139" s="1422"/>
      <c r="U139" s="1422"/>
      <c r="V139" s="1422"/>
      <c r="W139" s="1692"/>
      <c r="X139" s="1422"/>
      <c r="Y139" s="1422"/>
      <c r="Z139" s="600"/>
      <c r="AA139" s="1422"/>
      <c r="AB139" s="1422"/>
      <c r="AC139" s="1422"/>
      <c r="AD139" s="1422"/>
      <c r="AE139" s="1422"/>
      <c r="AF139" s="1688"/>
      <c r="AG139" s="678"/>
      <c r="AH139" s="678"/>
      <c r="AI139" s="678"/>
      <c r="AJ139" s="678"/>
      <c r="AK139" s="1697">
        <v>11</v>
      </c>
    </row>
    <row s="3442" customFormat="1" customHeight="1" ht="11.549999999999999">
      <c r="A140" s="1043"/>
      <c r="B140" s="1043"/>
      <c r="C140" s="1043"/>
      <c r="D140" s="1043"/>
      <c r="E140" s="1043"/>
      <c r="F140" s="1692"/>
      <c r="G140" s="1692"/>
      <c r="H140" s="407"/>
      <c r="N140" s="1422"/>
      <c r="P140" s="1422"/>
      <c r="Q140" s="1692"/>
      <c r="R140" s="1692"/>
      <c r="S140" s="1422"/>
      <c r="T140" s="1422"/>
      <c r="U140" s="1422"/>
      <c r="V140" s="1422"/>
      <c r="W140" s="1692"/>
      <c r="X140" s="1422"/>
      <c r="Y140" s="1422"/>
      <c r="Z140" s="600"/>
      <c r="AA140" s="1422"/>
      <c r="AB140" s="1422"/>
      <c r="AC140" s="1422"/>
      <c r="AD140" s="1422"/>
      <c r="AE140" s="1422"/>
      <c r="AF140" s="1688"/>
      <c r="AG140" s="678"/>
      <c r="AH140" s="678"/>
      <c r="AI140" s="678"/>
      <c r="AJ140" s="678"/>
      <c r="AK140" s="1697">
        <v>11</v>
      </c>
    </row>
    <row s="3442" customFormat="1" customHeight="1" ht="11.549999999999999">
      <c r="A141" s="1043"/>
      <c r="B141" s="1043"/>
      <c r="C141" s="1043"/>
      <c r="D141" s="1043"/>
      <c r="E141" s="1043"/>
      <c r="F141" s="1692"/>
      <c r="G141" s="1692"/>
      <c r="H141" s="407"/>
      <c r="N141" s="1422"/>
      <c r="P141" s="1422"/>
      <c r="Q141" s="1692"/>
      <c r="R141" s="1692"/>
      <c r="S141" s="1422"/>
      <c r="T141" s="1422"/>
      <c r="U141" s="1422"/>
      <c r="V141" s="1422"/>
      <c r="W141" s="1692"/>
      <c r="X141" s="1422"/>
      <c r="Y141" s="1422"/>
      <c r="Z141" s="600"/>
      <c r="AA141" s="1422"/>
      <c r="AB141" s="1422"/>
      <c r="AC141" s="1422"/>
      <c r="AD141" s="1422"/>
      <c r="AE141" s="1422"/>
      <c r="AF141" s="1688"/>
      <c r="AG141" s="678"/>
      <c r="AH141" s="678"/>
      <c r="AI141" s="678"/>
      <c r="AJ141" s="678"/>
      <c r="AK141" s="1697">
        <v>11</v>
      </c>
    </row>
    <row s="3442" customFormat="1" customHeight="1" ht="11.549999999999999">
      <c r="A142" s="1043"/>
      <c r="B142" s="1043"/>
      <c r="C142" s="1043"/>
      <c r="D142" s="1043"/>
      <c r="E142" s="1043"/>
      <c r="F142" s="1692"/>
      <c r="G142" s="1692"/>
      <c r="H142" s="407"/>
      <c r="N142" s="1422"/>
      <c r="P142" s="1422"/>
      <c r="Q142" s="1692"/>
      <c r="R142" s="1692"/>
      <c r="S142" s="1422"/>
      <c r="T142" s="1422"/>
      <c r="U142" s="1422"/>
      <c r="V142" s="1422"/>
      <c r="W142" s="1692"/>
      <c r="X142" s="1422"/>
      <c r="Y142" s="1422"/>
      <c r="Z142" s="600"/>
      <c r="AA142" s="1422"/>
      <c r="AB142" s="1422"/>
      <c r="AC142" s="1422"/>
      <c r="AD142" s="1422"/>
      <c r="AE142" s="1422"/>
      <c r="AF142" s="1688"/>
      <c r="AG142" s="678"/>
      <c r="AH142" s="678"/>
      <c r="AI142" s="678"/>
      <c r="AJ142" s="678"/>
      <c r="AK142" s="1697">
        <v>11</v>
      </c>
    </row>
    <row s="3442" customFormat="1" customHeight="1" ht="11.549999999999999">
      <c r="A143" s="1043"/>
      <c r="B143" s="1043"/>
      <c r="C143" s="1043"/>
      <c r="D143" s="1043"/>
      <c r="E143" s="1043"/>
      <c r="F143" s="1692"/>
      <c r="G143" s="1692"/>
      <c r="H143" s="407"/>
      <c r="N143" s="1422"/>
      <c r="P143" s="1422"/>
      <c r="Q143" s="1692"/>
      <c r="R143" s="1692"/>
      <c r="S143" s="1422"/>
      <c r="T143" s="1422"/>
      <c r="U143" s="1422"/>
      <c r="V143" s="1422"/>
      <c r="W143" s="1692"/>
      <c r="X143" s="1422"/>
      <c r="Y143" s="1422"/>
      <c r="Z143" s="600"/>
      <c r="AA143" s="1422"/>
      <c r="AB143" s="1422"/>
      <c r="AC143" s="1422"/>
      <c r="AD143" s="1422"/>
      <c r="AE143" s="1422"/>
      <c r="AF143" s="1688"/>
      <c r="AG143" s="678"/>
      <c r="AH143" s="678"/>
      <c r="AI143" s="678"/>
      <c r="AJ143" s="678"/>
      <c r="AK143" s="1697">
        <v>11</v>
      </c>
    </row>
    <row s="3442" customFormat="1" customHeight="1" ht="11.549999999999999">
      <c r="A144" s="1043"/>
      <c r="B144" s="1043"/>
      <c r="C144" s="1043"/>
      <c r="D144" s="1043"/>
      <c r="E144" s="1043"/>
      <c r="F144" s="1692"/>
      <c r="G144" s="1692"/>
      <c r="H144" s="407"/>
      <c r="N144" s="1422"/>
      <c r="P144" s="1422"/>
      <c r="Q144" s="1692"/>
      <c r="R144" s="1692"/>
      <c r="S144" s="1422"/>
      <c r="T144" s="1422"/>
      <c r="U144" s="1422"/>
      <c r="V144" s="1422"/>
      <c r="W144" s="1692"/>
      <c r="X144" s="1422"/>
      <c r="Y144" s="1422"/>
      <c r="Z144" s="600"/>
      <c r="AA144" s="1422"/>
      <c r="AB144" s="1422"/>
      <c r="AC144" s="1422"/>
      <c r="AD144" s="1422"/>
      <c r="AE144" s="1422"/>
      <c r="AF144" s="1688"/>
      <c r="AG144" s="678"/>
      <c r="AH144" s="678"/>
      <c r="AI144" s="678"/>
      <c r="AJ144" s="678"/>
      <c r="AK144" s="1697">
        <v>11</v>
      </c>
    </row>
    <row s="3442" customFormat="1" customHeight="1" ht="11.549999999999999">
      <c r="A145" s="1043"/>
      <c r="B145" s="1043"/>
      <c r="C145" s="1043"/>
      <c r="D145" s="1043"/>
      <c r="E145" s="1043"/>
      <c r="F145" s="1692"/>
      <c r="G145" s="1692"/>
      <c r="H145" s="407"/>
      <c r="N145" s="1422"/>
      <c r="P145" s="1422"/>
      <c r="Q145" s="1692"/>
      <c r="R145" s="1692"/>
      <c r="S145" s="1422"/>
      <c r="T145" s="1422"/>
      <c r="U145" s="1422"/>
      <c r="V145" s="1422"/>
      <c r="W145" s="1692"/>
      <c r="X145" s="1422"/>
      <c r="Y145" s="1422"/>
      <c r="Z145" s="600"/>
      <c r="AA145" s="1422"/>
      <c r="AB145" s="1422"/>
      <c r="AC145" s="1422"/>
      <c r="AD145" s="1422"/>
      <c r="AE145" s="1422"/>
      <c r="AF145" s="1688"/>
      <c r="AG145" s="678"/>
      <c r="AH145" s="678"/>
      <c r="AI145" s="678"/>
      <c r="AJ145" s="678"/>
      <c r="AK145" s="1697">
        <v>11</v>
      </c>
    </row>
    <row s="3442" customFormat="1" customHeight="1" ht="11.549999999999999">
      <c r="A146" s="1043"/>
      <c r="B146" s="1043"/>
      <c r="C146" s="1043"/>
      <c r="D146" s="1043"/>
      <c r="E146" s="1043"/>
      <c r="F146" s="1692"/>
      <c r="G146" s="1692"/>
      <c r="H146" s="407"/>
      <c r="N146" s="1422"/>
      <c r="P146" s="1422"/>
      <c r="Q146" s="1692"/>
      <c r="R146" s="1692"/>
      <c r="S146" s="1422"/>
      <c r="T146" s="1422"/>
      <c r="U146" s="1422"/>
      <c r="V146" s="1422"/>
      <c r="W146" s="1692"/>
      <c r="X146" s="1422"/>
      <c r="Y146" s="1422"/>
      <c r="Z146" s="600"/>
      <c r="AA146" s="1422"/>
      <c r="AB146" s="1422"/>
      <c r="AC146" s="1422"/>
      <c r="AD146" s="1422"/>
      <c r="AE146" s="1422"/>
      <c r="AF146" s="1688"/>
      <c r="AG146" s="678"/>
      <c r="AH146" s="678"/>
      <c r="AI146" s="678"/>
      <c r="AJ146" s="678"/>
      <c r="AK146" s="1697">
        <v>11</v>
      </c>
    </row>
    <row s="3442" customFormat="1" customHeight="1" ht="11.549999999999999">
      <c r="A147" s="1043"/>
      <c r="B147" s="1043"/>
      <c r="C147" s="1043"/>
      <c r="D147" s="1043"/>
      <c r="E147" s="1043"/>
      <c r="F147" s="1692"/>
      <c r="G147" s="1692"/>
      <c r="H147" s="407"/>
      <c r="N147" s="1422"/>
      <c r="P147" s="1422"/>
      <c r="Q147" s="1692"/>
      <c r="R147" s="1692"/>
      <c r="S147" s="1422"/>
      <c r="T147" s="1422"/>
      <c r="U147" s="1422"/>
      <c r="V147" s="1422"/>
      <c r="W147" s="1692"/>
      <c r="X147" s="1422"/>
      <c r="Y147" s="1422"/>
      <c r="Z147" s="600"/>
      <c r="AA147" s="1422"/>
      <c r="AB147" s="1422"/>
      <c r="AC147" s="1422"/>
      <c r="AD147" s="1422"/>
      <c r="AE147" s="1422"/>
      <c r="AF147" s="1688"/>
      <c r="AG147" s="678"/>
      <c r="AH147" s="678"/>
      <c r="AI147" s="678"/>
      <c r="AJ147" s="678"/>
      <c r="AK147" s="1697">
        <v>11</v>
      </c>
    </row>
    <row s="3442" customFormat="1" customHeight="1" ht="11.549999999999999">
      <c r="A148" s="1043"/>
      <c r="B148" s="1043"/>
      <c r="C148" s="1043"/>
      <c r="D148" s="1043"/>
      <c r="E148" s="1043"/>
      <c r="F148" s="1692"/>
      <c r="G148" s="1692"/>
      <c r="H148" s="407"/>
      <c r="N148" s="1422"/>
      <c r="P148" s="1422"/>
      <c r="Q148" s="1692"/>
      <c r="R148" s="1692"/>
      <c r="S148" s="1422"/>
      <c r="T148" s="1422"/>
      <c r="U148" s="1422"/>
      <c r="V148" s="1422"/>
      <c r="W148" s="1692"/>
      <c r="X148" s="1422"/>
      <c r="Y148" s="1422"/>
      <c r="Z148" s="600"/>
      <c r="AA148" s="1422"/>
      <c r="AB148" s="1422"/>
      <c r="AC148" s="1422"/>
      <c r="AD148" s="1422"/>
      <c r="AE148" s="1422"/>
      <c r="AF148" s="1688"/>
      <c r="AG148" s="678"/>
      <c r="AH148" s="678"/>
      <c r="AI148" s="678"/>
      <c r="AJ148" s="678"/>
      <c r="AK148" s="1697">
        <v>11</v>
      </c>
    </row>
    <row s="3442" customFormat="1" customHeight="1" ht="11.549999999999999">
      <c r="A149" s="1043"/>
      <c r="B149" s="1043"/>
      <c r="C149" s="1043"/>
      <c r="D149" s="1043"/>
      <c r="E149" s="1043"/>
      <c r="F149" s="1692"/>
      <c r="G149" s="1692"/>
      <c r="H149" s="407"/>
      <c r="N149" s="1422"/>
      <c r="P149" s="1422"/>
      <c r="Q149" s="1692"/>
      <c r="R149" s="1692"/>
      <c r="S149" s="1422"/>
      <c r="T149" s="1422"/>
      <c r="U149" s="1422"/>
      <c r="V149" s="1422"/>
      <c r="W149" s="1692"/>
      <c r="X149" s="1422"/>
      <c r="Y149" s="1422"/>
      <c r="Z149" s="600"/>
      <c r="AA149" s="1422"/>
      <c r="AB149" s="1422"/>
      <c r="AC149" s="1422"/>
      <c r="AD149" s="1422"/>
      <c r="AE149" s="1422"/>
      <c r="AF149" s="1688"/>
      <c r="AG149" s="678"/>
      <c r="AH149" s="678"/>
      <c r="AI149" s="678"/>
      <c r="AJ149" s="678"/>
      <c r="AK149" s="1697">
        <v>11</v>
      </c>
    </row>
    <row s="3442" customFormat="1" customHeight="1" ht="11.549999999999999">
      <c r="A150" s="1043"/>
      <c r="B150" s="1043"/>
      <c r="C150" s="1043"/>
      <c r="D150" s="1043"/>
      <c r="E150" s="1043"/>
      <c r="F150" s="1692"/>
      <c r="G150" s="1692"/>
      <c r="H150" s="407"/>
      <c r="N150" s="1422"/>
      <c r="P150" s="1422"/>
      <c r="Q150" s="1692"/>
      <c r="R150" s="1692"/>
      <c r="S150" s="1422"/>
      <c r="T150" s="1422"/>
      <c r="U150" s="1422"/>
      <c r="V150" s="1422"/>
      <c r="W150" s="1692"/>
      <c r="X150" s="1422"/>
      <c r="Y150" s="1422"/>
      <c r="Z150" s="600"/>
      <c r="AA150" s="1422"/>
      <c r="AB150" s="1422"/>
      <c r="AC150" s="1422"/>
      <c r="AD150" s="1422"/>
      <c r="AE150" s="1422"/>
      <c r="AF150" s="1688"/>
      <c r="AG150" s="678"/>
      <c r="AH150" s="678"/>
      <c r="AI150" s="678"/>
      <c r="AJ150" s="678"/>
      <c r="AK150" s="1697">
        <v>11</v>
      </c>
    </row>
    <row s="3442" customFormat="1" customHeight="1" ht="11.549999999999999">
      <c r="A151" s="1043"/>
      <c r="B151" s="1043"/>
      <c r="C151" s="1043"/>
      <c r="D151" s="1043"/>
      <c r="E151" s="1043"/>
      <c r="F151" s="1692"/>
      <c r="G151" s="1692"/>
      <c r="H151" s="407"/>
      <c r="N151" s="1422"/>
      <c r="P151" s="1422"/>
      <c r="Q151" s="1692"/>
      <c r="R151" s="1692"/>
      <c r="S151" s="1422"/>
      <c r="T151" s="1422"/>
      <c r="U151" s="1422"/>
      <c r="V151" s="1422"/>
      <c r="W151" s="1692"/>
      <c r="X151" s="1422"/>
      <c r="Y151" s="1422"/>
      <c r="Z151" s="600"/>
      <c r="AA151" s="1422"/>
      <c r="AB151" s="1422"/>
      <c r="AC151" s="1422"/>
      <c r="AD151" s="1422"/>
      <c r="AE151" s="1422"/>
      <c r="AF151" s="1688"/>
      <c r="AG151" s="678"/>
      <c r="AH151" s="678"/>
      <c r="AI151" s="678"/>
      <c r="AJ151" s="678"/>
      <c r="AK151" s="1697">
        <v>11</v>
      </c>
    </row>
    <row s="3442" customFormat="1" customHeight="1" ht="11.549999999999999">
      <c r="A152" s="1043"/>
      <c r="B152" s="1043"/>
      <c r="C152" s="1043"/>
      <c r="D152" s="1043"/>
      <c r="E152" s="1043"/>
      <c r="F152" s="1692"/>
      <c r="G152" s="1692"/>
      <c r="H152" s="407"/>
      <c r="N152" s="1422"/>
      <c r="P152" s="1422"/>
      <c r="Q152" s="1692"/>
      <c r="R152" s="1692"/>
      <c r="S152" s="1422"/>
      <c r="T152" s="1422"/>
      <c r="U152" s="1422"/>
      <c r="V152" s="1422"/>
      <c r="W152" s="1692"/>
      <c r="X152" s="1422"/>
      <c r="Y152" s="1422"/>
      <c r="Z152" s="600"/>
      <c r="AA152" s="1422"/>
      <c r="AB152" s="1422"/>
      <c r="AC152" s="1422"/>
      <c r="AD152" s="1422"/>
      <c r="AE152" s="1422"/>
      <c r="AF152" s="1688"/>
      <c r="AG152" s="678"/>
      <c r="AH152" s="678"/>
      <c r="AI152" s="678"/>
      <c r="AJ152" s="678"/>
      <c r="AK152" s="1697">
        <v>11</v>
      </c>
    </row>
    <row s="3442" customFormat="1" customHeight="1" ht="11.549999999999999">
      <c r="A153" s="1043"/>
      <c r="B153" s="1043"/>
      <c r="C153" s="1043"/>
      <c r="D153" s="1043"/>
      <c r="E153" s="1043"/>
      <c r="F153" s="1692"/>
      <c r="G153" s="1692"/>
      <c r="H153" s="407"/>
      <c r="N153" s="1422"/>
      <c r="P153" s="1422"/>
      <c r="Q153" s="1692"/>
      <c r="R153" s="1692"/>
      <c r="S153" s="1422"/>
      <c r="T153" s="1422"/>
      <c r="U153" s="1422"/>
      <c r="V153" s="1422"/>
      <c r="W153" s="1692"/>
      <c r="X153" s="1422"/>
      <c r="Y153" s="1422"/>
      <c r="Z153" s="600"/>
      <c r="AA153" s="1422"/>
      <c r="AB153" s="1422"/>
      <c r="AC153" s="1422"/>
      <c r="AD153" s="1422"/>
      <c r="AE153" s="1422"/>
      <c r="AF153" s="1688"/>
      <c r="AG153" s="678"/>
      <c r="AH153" s="678"/>
      <c r="AI153" s="678"/>
      <c r="AJ153" s="678"/>
      <c r="AK153" s="1697">
        <v>11</v>
      </c>
    </row>
    <row s="3442" customFormat="1" customHeight="1" ht="11.549999999999999">
      <c r="A154" s="1043"/>
      <c r="B154" s="1043"/>
      <c r="C154" s="1043"/>
      <c r="D154" s="1043"/>
      <c r="E154" s="1043"/>
      <c r="F154" s="1692"/>
      <c r="G154" s="1692"/>
      <c r="H154" s="407"/>
      <c r="N154" s="1422"/>
      <c r="P154" s="1422"/>
      <c r="Q154" s="1692"/>
      <c r="R154" s="1692"/>
      <c r="S154" s="1422"/>
      <c r="T154" s="1422"/>
      <c r="U154" s="1422"/>
      <c r="V154" s="1422"/>
      <c r="W154" s="1692"/>
      <c r="X154" s="1422"/>
      <c r="Y154" s="1422"/>
      <c r="Z154" s="600"/>
      <c r="AA154" s="1422"/>
      <c r="AB154" s="1422"/>
      <c r="AC154" s="1422"/>
      <c r="AD154" s="1422"/>
      <c r="AE154" s="1422"/>
      <c r="AF154" s="1688"/>
      <c r="AG154" s="678"/>
      <c r="AH154" s="678"/>
      <c r="AI154" s="678"/>
      <c r="AJ154" s="678"/>
      <c r="AK154" s="1697">
        <v>11</v>
      </c>
    </row>
    <row s="3442" customFormat="1" customHeight="1" ht="11.549999999999999">
      <c r="A155" s="1043"/>
      <c r="B155" s="1043"/>
      <c r="C155" s="1043"/>
      <c r="D155" s="1043"/>
      <c r="E155" s="1043"/>
      <c r="F155" s="1692"/>
      <c r="G155" s="1692"/>
      <c r="H155" s="407"/>
      <c r="N155" s="1422"/>
      <c r="P155" s="1422"/>
      <c r="Q155" s="1692"/>
      <c r="R155" s="1692"/>
      <c r="S155" s="1422"/>
      <c r="T155" s="1422"/>
      <c r="U155" s="1422"/>
      <c r="V155" s="1422"/>
      <c r="W155" s="1692"/>
      <c r="X155" s="1422"/>
      <c r="Y155" s="1422"/>
      <c r="Z155" s="600"/>
      <c r="AA155" s="1422"/>
      <c r="AB155" s="1422"/>
      <c r="AC155" s="1422"/>
      <c r="AD155" s="1422"/>
      <c r="AE155" s="1422"/>
      <c r="AF155" s="1688"/>
      <c r="AG155" s="678"/>
      <c r="AH155" s="678"/>
      <c r="AI155" s="678"/>
      <c r="AJ155" s="678"/>
      <c r="AK155" s="1697">
        <v>11</v>
      </c>
    </row>
    <row s="3442" customFormat="1" customHeight="1" ht="11.549999999999999">
      <c r="A156" s="1043"/>
      <c r="B156" s="1043"/>
      <c r="C156" s="1043"/>
      <c r="D156" s="1043"/>
      <c r="E156" s="1043"/>
      <c r="F156" s="1692"/>
      <c r="G156" s="1692"/>
      <c r="H156" s="407"/>
      <c r="N156" s="1422"/>
      <c r="P156" s="1422"/>
      <c r="Q156" s="1692"/>
      <c r="R156" s="1692"/>
      <c r="S156" s="1422"/>
      <c r="T156" s="1422"/>
      <c r="U156" s="1422"/>
      <c r="V156" s="1422"/>
      <c r="W156" s="1692"/>
      <c r="X156" s="1422"/>
      <c r="Y156" s="1422"/>
      <c r="Z156" s="600"/>
      <c r="AA156" s="1422"/>
      <c r="AB156" s="1422"/>
      <c r="AC156" s="1422"/>
      <c r="AD156" s="1422"/>
      <c r="AE156" s="1422"/>
      <c r="AF156" s="1688"/>
      <c r="AG156" s="678"/>
      <c r="AH156" s="678"/>
      <c r="AI156" s="678"/>
      <c r="AJ156" s="678"/>
      <c r="AK156" s="1697">
        <v>11</v>
      </c>
    </row>
    <row s="3442" customFormat="1" customHeight="1" ht="11.549999999999999">
      <c r="A157" s="1043"/>
      <c r="B157" s="1043"/>
      <c r="C157" s="1043"/>
      <c r="D157" s="1043"/>
      <c r="E157" s="1043"/>
      <c r="F157" s="1692"/>
      <c r="G157" s="1692"/>
      <c r="H157" s="407"/>
      <c r="N157" s="1422"/>
      <c r="P157" s="1422"/>
      <c r="Q157" s="1692"/>
      <c r="R157" s="1692"/>
      <c r="S157" s="1422"/>
      <c r="T157" s="1422"/>
      <c r="U157" s="1422"/>
      <c r="V157" s="1422"/>
      <c r="W157" s="1692"/>
      <c r="X157" s="1422"/>
      <c r="Y157" s="1422"/>
      <c r="Z157" s="600"/>
      <c r="AA157" s="1422"/>
      <c r="AB157" s="1422"/>
      <c r="AC157" s="1422"/>
      <c r="AD157" s="1422"/>
      <c r="AE157" s="1422"/>
      <c r="AF157" s="1688"/>
      <c r="AG157" s="678"/>
      <c r="AH157" s="678"/>
      <c r="AI157" s="678"/>
      <c r="AJ157" s="678"/>
      <c r="AK157" s="1697">
        <v>11</v>
      </c>
    </row>
    <row s="3442" customFormat="1" customHeight="1" ht="11.549999999999999">
      <c r="A158" s="1043"/>
      <c r="B158" s="1043"/>
      <c r="C158" s="1043"/>
      <c r="D158" s="1043"/>
      <c r="E158" s="1043"/>
      <c r="F158" s="1692"/>
      <c r="G158" s="1692"/>
      <c r="H158" s="407"/>
      <c r="N158" s="1422"/>
      <c r="P158" s="1422"/>
      <c r="Q158" s="1692"/>
      <c r="R158" s="1692"/>
      <c r="S158" s="1422"/>
      <c r="T158" s="1422"/>
      <c r="U158" s="1422"/>
      <c r="V158" s="1422"/>
      <c r="W158" s="1692"/>
      <c r="X158" s="1422"/>
      <c r="Y158" s="1422"/>
      <c r="Z158" s="600"/>
      <c r="AA158" s="1422"/>
      <c r="AB158" s="1422"/>
      <c r="AC158" s="1422"/>
      <c r="AD158" s="1422"/>
      <c r="AE158" s="1422"/>
      <c r="AF158" s="1688"/>
      <c r="AG158" s="678"/>
      <c r="AH158" s="678"/>
      <c r="AI158" s="678"/>
      <c r="AJ158" s="678"/>
      <c r="AK158" s="1697">
        <v>11</v>
      </c>
    </row>
    <row s="3442" customFormat="1" customHeight="1" ht="11.549999999999999">
      <c r="A159" s="1043"/>
      <c r="B159" s="1043"/>
      <c r="C159" s="1043"/>
      <c r="D159" s="1043"/>
      <c r="E159" s="1043"/>
      <c r="F159" s="1692"/>
      <c r="G159" s="1692"/>
      <c r="H159" s="407"/>
      <c r="N159" s="1422"/>
      <c r="P159" s="1422"/>
      <c r="Q159" s="1692"/>
      <c r="R159" s="1692"/>
      <c r="S159" s="1422"/>
      <c r="T159" s="1422"/>
      <c r="U159" s="1422"/>
      <c r="V159" s="1422"/>
      <c r="W159" s="1692"/>
      <c r="X159" s="1422"/>
      <c r="Y159" s="1422"/>
      <c r="Z159" s="600"/>
      <c r="AA159" s="1422"/>
      <c r="AB159" s="1422"/>
      <c r="AC159" s="1422"/>
      <c r="AD159" s="1422"/>
      <c r="AE159" s="1422"/>
      <c r="AF159" s="1688"/>
      <c r="AG159" s="678"/>
      <c r="AH159" s="678"/>
      <c r="AI159" s="678"/>
      <c r="AJ159" s="678"/>
      <c r="AK159" s="1697">
        <v>11</v>
      </c>
    </row>
    <row s="3442" customFormat="1" customHeight="1" ht="11.549999999999999">
      <c r="A160" s="1043"/>
      <c r="B160" s="1043"/>
      <c r="C160" s="1043"/>
      <c r="D160" s="1043"/>
      <c r="E160" s="1043"/>
      <c r="F160" s="1692"/>
      <c r="G160" s="1692"/>
      <c r="H160" s="407"/>
      <c r="N160" s="1422"/>
      <c r="P160" s="1422"/>
      <c r="Q160" s="1692"/>
      <c r="R160" s="1692"/>
      <c r="S160" s="1422"/>
      <c r="T160" s="1422"/>
      <c r="U160" s="1422"/>
      <c r="V160" s="1422"/>
      <c r="W160" s="1692"/>
      <c r="X160" s="1422"/>
      <c r="Y160" s="1422"/>
      <c r="Z160" s="600"/>
      <c r="AA160" s="1422"/>
      <c r="AB160" s="1422"/>
      <c r="AC160" s="1422"/>
      <c r="AD160" s="1422"/>
      <c r="AE160" s="1422"/>
      <c r="AF160" s="1688"/>
      <c r="AG160" s="678"/>
      <c r="AH160" s="678"/>
      <c r="AI160" s="678"/>
      <c r="AJ160" s="678"/>
      <c r="AK160" s="1697">
        <v>11</v>
      </c>
    </row>
    <row s="3442" customFormat="1" customHeight="1" ht="11.549999999999999">
      <c r="A161" s="1043"/>
      <c r="B161" s="1043"/>
      <c r="C161" s="1043"/>
      <c r="D161" s="1043"/>
      <c r="E161" s="1043"/>
      <c r="F161" s="1692"/>
      <c r="G161" s="1692"/>
      <c r="H161" s="407"/>
      <c r="N161" s="1422"/>
      <c r="P161" s="1422"/>
      <c r="Q161" s="1692"/>
      <c r="R161" s="1692"/>
      <c r="S161" s="1422"/>
      <c r="T161" s="1422"/>
      <c r="U161" s="1422"/>
      <c r="V161" s="1422"/>
      <c r="W161" s="1692"/>
      <c r="X161" s="1422"/>
      <c r="Y161" s="1422"/>
      <c r="Z161" s="600"/>
      <c r="AA161" s="1422"/>
      <c r="AB161" s="1422"/>
      <c r="AC161" s="1422"/>
      <c r="AD161" s="1422"/>
      <c r="AE161" s="1422"/>
      <c r="AF161" s="1688"/>
      <c r="AG161" s="678"/>
      <c r="AH161" s="678"/>
      <c r="AI161" s="678"/>
      <c r="AJ161" s="678"/>
      <c r="AK161" s="1697">
        <v>11</v>
      </c>
    </row>
    <row s="3442" customFormat="1" customHeight="1" ht="11.549999999999999">
      <c r="A162" s="1043"/>
      <c r="B162" s="1043"/>
      <c r="C162" s="1043"/>
      <c r="D162" s="1043"/>
      <c r="E162" s="1043"/>
      <c r="F162" s="1692"/>
      <c r="G162" s="1692"/>
      <c r="H162" s="407"/>
      <c r="N162" s="1422"/>
      <c r="P162" s="1422"/>
      <c r="Q162" s="1692"/>
      <c r="R162" s="1692"/>
      <c r="S162" s="1422"/>
      <c r="T162" s="1422"/>
      <c r="U162" s="1422"/>
      <c r="V162" s="1422"/>
      <c r="W162" s="1692"/>
      <c r="X162" s="1422"/>
      <c r="Y162" s="1422"/>
      <c r="Z162" s="600"/>
      <c r="AA162" s="1422"/>
      <c r="AB162" s="1422"/>
      <c r="AC162" s="1422"/>
      <c r="AD162" s="1422"/>
      <c r="AE162" s="1422"/>
      <c r="AF162" s="1688"/>
      <c r="AG162" s="678"/>
      <c r="AH162" s="678"/>
      <c r="AI162" s="678"/>
      <c r="AJ162" s="678"/>
      <c r="AK162" s="1697">
        <v>11</v>
      </c>
    </row>
    <row s="3442" customFormat="1" customHeight="1" ht="11.549999999999999">
      <c r="A163" s="1043"/>
      <c r="B163" s="1043"/>
      <c r="C163" s="1043"/>
      <c r="D163" s="1043"/>
      <c r="E163" s="1043"/>
      <c r="F163" s="1692"/>
      <c r="G163" s="1692"/>
      <c r="H163" s="407"/>
      <c r="N163" s="1422"/>
      <c r="P163" s="1422"/>
      <c r="Q163" s="1692"/>
      <c r="R163" s="1692"/>
      <c r="S163" s="1422"/>
      <c r="T163" s="1422"/>
      <c r="U163" s="1422"/>
      <c r="V163" s="1422"/>
      <c r="W163" s="1692"/>
      <c r="X163" s="1422"/>
      <c r="Y163" s="1422"/>
      <c r="Z163" s="600"/>
      <c r="AA163" s="1422"/>
      <c r="AB163" s="1422"/>
      <c r="AC163" s="1422"/>
      <c r="AD163" s="1422"/>
      <c r="AE163" s="1422"/>
      <c r="AF163" s="1688"/>
      <c r="AG163" s="678"/>
      <c r="AH163" s="678"/>
      <c r="AI163" s="678"/>
      <c r="AJ163" s="678"/>
      <c r="AK163" s="1697">
        <v>11</v>
      </c>
    </row>
    <row s="3442" customFormat="1" customHeight="1" ht="11.549999999999999">
      <c r="A164" s="1043"/>
      <c r="B164" s="1043"/>
      <c r="C164" s="1043"/>
      <c r="D164" s="1043"/>
      <c r="E164" s="1043"/>
      <c r="F164" s="1692"/>
      <c r="G164" s="1692"/>
      <c r="H164" s="407"/>
      <c r="N164" s="1422"/>
      <c r="P164" s="1422"/>
      <c r="Q164" s="1692"/>
      <c r="R164" s="1692"/>
      <c r="S164" s="1422"/>
      <c r="T164" s="1422"/>
      <c r="U164" s="1422"/>
      <c r="V164" s="1422"/>
      <c r="W164" s="1692"/>
      <c r="X164" s="1422"/>
      <c r="Y164" s="1422"/>
      <c r="Z164" s="600"/>
      <c r="AA164" s="1422"/>
      <c r="AB164" s="1422"/>
      <c r="AC164" s="1422"/>
      <c r="AD164" s="1422"/>
      <c r="AE164" s="1422"/>
      <c r="AF164" s="1688"/>
      <c r="AG164" s="678"/>
      <c r="AH164" s="678"/>
      <c r="AI164" s="678"/>
      <c r="AJ164" s="678"/>
      <c r="AK164" s="1697">
        <v>11</v>
      </c>
    </row>
    <row s="3442" customFormat="1" customHeight="1" ht="11.549999999999999">
      <c r="A165" s="1043"/>
      <c r="B165" s="1043"/>
      <c r="C165" s="1043"/>
      <c r="D165" s="1043"/>
      <c r="E165" s="1043"/>
      <c r="F165" s="1692"/>
      <c r="G165" s="1692"/>
      <c r="H165" s="407"/>
      <c r="N165" s="1422"/>
      <c r="P165" s="1422"/>
      <c r="Q165" s="1692"/>
      <c r="R165" s="1692"/>
      <c r="S165" s="1422"/>
      <c r="T165" s="1422"/>
      <c r="U165" s="1422"/>
      <c r="V165" s="1422"/>
      <c r="W165" s="1692"/>
      <c r="X165" s="1422"/>
      <c r="Y165" s="1422"/>
      <c r="Z165" s="600"/>
      <c r="AA165" s="1422"/>
      <c r="AB165" s="1422"/>
      <c r="AC165" s="1422"/>
      <c r="AD165" s="1422"/>
      <c r="AE165" s="1422"/>
      <c r="AF165" s="1688"/>
      <c r="AG165" s="678"/>
      <c r="AH165" s="678"/>
      <c r="AI165" s="678"/>
      <c r="AJ165" s="678"/>
      <c r="AK165" s="1697">
        <v>11</v>
      </c>
    </row>
    <row s="3442" customFormat="1" customHeight="1" ht="11.549999999999999">
      <c r="A166" s="1043"/>
      <c r="B166" s="1043"/>
      <c r="C166" s="1043"/>
      <c r="D166" s="1043"/>
      <c r="E166" s="1043"/>
      <c r="F166" s="1692"/>
      <c r="G166" s="1692"/>
      <c r="H166" s="407"/>
      <c r="N166" s="1422"/>
      <c r="P166" s="1422"/>
      <c r="Q166" s="1692"/>
      <c r="R166" s="1692"/>
      <c r="S166" s="1422"/>
      <c r="T166" s="1422"/>
      <c r="U166" s="1422"/>
      <c r="V166" s="1422"/>
      <c r="W166" s="1692"/>
      <c r="X166" s="1422"/>
      <c r="Y166" s="1422"/>
      <c r="Z166" s="600"/>
      <c r="AA166" s="1422"/>
      <c r="AB166" s="1422"/>
      <c r="AC166" s="1422"/>
      <c r="AD166" s="1422"/>
      <c r="AE166" s="1422"/>
      <c r="AF166" s="1688"/>
      <c r="AG166" s="678"/>
      <c r="AH166" s="678"/>
      <c r="AI166" s="678"/>
      <c r="AJ166" s="678"/>
      <c r="AK166" s="1697">
        <v>11</v>
      </c>
    </row>
    <row s="3442" customFormat="1" customHeight="1" ht="11.549999999999999">
      <c r="A167" s="1043"/>
      <c r="B167" s="1043"/>
      <c r="C167" s="1043"/>
      <c r="D167" s="1043"/>
      <c r="E167" s="1043"/>
      <c r="F167" s="1692"/>
      <c r="G167" s="1692"/>
      <c r="H167" s="407"/>
      <c r="N167" s="1422"/>
      <c r="P167" s="1422"/>
      <c r="Q167" s="1692"/>
      <c r="R167" s="1692"/>
      <c r="S167" s="1422"/>
      <c r="T167" s="1422"/>
      <c r="U167" s="1422"/>
      <c r="V167" s="1422"/>
      <c r="W167" s="1692"/>
      <c r="X167" s="1422"/>
      <c r="Y167" s="1422"/>
      <c r="Z167" s="600"/>
      <c r="AA167" s="1422"/>
      <c r="AB167" s="1422"/>
      <c r="AC167" s="1422"/>
      <c r="AD167" s="1422"/>
      <c r="AE167" s="1422"/>
      <c r="AF167" s="1688"/>
      <c r="AG167" s="678"/>
      <c r="AH167" s="678"/>
      <c r="AI167" s="678"/>
      <c r="AJ167" s="678"/>
      <c r="AK167" s="1697">
        <v>11</v>
      </c>
    </row>
    <row s="3442" customFormat="1" customHeight="1" ht="11.549999999999999">
      <c r="A168" s="1043"/>
      <c r="B168" s="1043"/>
      <c r="C168" s="1043"/>
      <c r="D168" s="1043"/>
      <c r="E168" s="1043"/>
      <c r="F168" s="1692"/>
      <c r="G168" s="1692"/>
      <c r="H168" s="407"/>
      <c r="N168" s="1422"/>
      <c r="P168" s="1422"/>
      <c r="Q168" s="1692"/>
      <c r="R168" s="1692"/>
      <c r="S168" s="1422"/>
      <c r="T168" s="1422"/>
      <c r="U168" s="1422"/>
      <c r="V168" s="1422"/>
      <c r="W168" s="1692"/>
      <c r="X168" s="1422"/>
      <c r="Y168" s="1422"/>
      <c r="Z168" s="600"/>
      <c r="AA168" s="1422"/>
      <c r="AB168" s="1422"/>
      <c r="AC168" s="1422"/>
      <c r="AD168" s="1422"/>
      <c r="AE168" s="1422"/>
      <c r="AF168" s="1688"/>
      <c r="AG168" s="678"/>
      <c r="AH168" s="678"/>
      <c r="AI168" s="678"/>
      <c r="AJ168" s="678"/>
      <c r="AK168" s="1697">
        <v>11</v>
      </c>
    </row>
    <row s="3442" customFormat="1" customHeight="1" ht="11.549999999999999">
      <c r="A169" s="1043"/>
      <c r="B169" s="1043"/>
      <c r="C169" s="1043"/>
      <c r="D169" s="1043"/>
      <c r="E169" s="1043"/>
      <c r="F169" s="1692"/>
      <c r="G169" s="1692"/>
      <c r="H169" s="407"/>
      <c r="N169" s="1422"/>
      <c r="P169" s="1422"/>
      <c r="Q169" s="1692"/>
      <c r="R169" s="1692"/>
      <c r="S169" s="1422"/>
      <c r="T169" s="1422"/>
      <c r="U169" s="1422"/>
      <c r="V169" s="1422"/>
      <c r="W169" s="1692"/>
      <c r="X169" s="1422"/>
      <c r="Y169" s="1422"/>
      <c r="Z169" s="600"/>
      <c r="AA169" s="1422"/>
      <c r="AB169" s="1422"/>
      <c r="AC169" s="1422"/>
      <c r="AD169" s="1422"/>
      <c r="AE169" s="1422"/>
      <c r="AF169" s="1688"/>
      <c r="AG169" s="678"/>
      <c r="AH169" s="678"/>
      <c r="AI169" s="678"/>
      <c r="AJ169" s="678"/>
      <c r="AK169" s="1697">
        <v>11</v>
      </c>
    </row>
    <row s="3442" customFormat="1" customHeight="1" ht="11.549999999999999">
      <c r="A170" s="1043"/>
      <c r="B170" s="1043"/>
      <c r="C170" s="1043"/>
      <c r="D170" s="1043"/>
      <c r="E170" s="1043"/>
      <c r="F170" s="1692"/>
      <c r="G170" s="1692"/>
      <c r="H170" s="407"/>
      <c r="N170" s="1422"/>
      <c r="P170" s="1422"/>
      <c r="Q170" s="1692"/>
      <c r="R170" s="1692"/>
      <c r="S170" s="1422"/>
      <c r="T170" s="1422"/>
      <c r="U170" s="1422"/>
      <c r="V170" s="1422"/>
      <c r="W170" s="1692"/>
      <c r="X170" s="1422"/>
      <c r="Y170" s="1422"/>
      <c r="Z170" s="600"/>
      <c r="AA170" s="1422"/>
      <c r="AB170" s="1422"/>
      <c r="AC170" s="1422"/>
      <c r="AD170" s="1422"/>
      <c r="AE170" s="1422"/>
      <c r="AF170" s="1688"/>
      <c r="AG170" s="678"/>
      <c r="AH170" s="678"/>
      <c r="AI170" s="678"/>
      <c r="AJ170" s="678"/>
      <c r="AK170" s="1697">
        <v>11</v>
      </c>
    </row>
    <row s="3442" customFormat="1" customHeight="1" ht="11.549999999999999">
      <c r="A171" s="1043"/>
      <c r="B171" s="1043"/>
      <c r="C171" s="1043"/>
      <c r="D171" s="1043"/>
      <c r="E171" s="1043"/>
      <c r="F171" s="1692"/>
      <c r="G171" s="1692"/>
      <c r="H171" s="407"/>
      <c r="N171" s="1422"/>
      <c r="P171" s="1422"/>
      <c r="Q171" s="1692"/>
      <c r="R171" s="1692"/>
      <c r="S171" s="1422"/>
      <c r="T171" s="1422"/>
      <c r="U171" s="1422"/>
      <c r="V171" s="1422"/>
      <c r="W171" s="1692"/>
      <c r="X171" s="1422"/>
      <c r="Y171" s="1422"/>
      <c r="Z171" s="600"/>
      <c r="AA171" s="1422"/>
      <c r="AB171" s="1422"/>
      <c r="AC171" s="1422"/>
      <c r="AD171" s="1422"/>
      <c r="AE171" s="1422"/>
      <c r="AF171" s="1688"/>
      <c r="AG171" s="678"/>
      <c r="AH171" s="678"/>
      <c r="AI171" s="678"/>
      <c r="AJ171" s="678"/>
      <c r="AK171" s="1697">
        <v>11</v>
      </c>
    </row>
    <row s="3442" customFormat="1" customHeight="1" ht="11.549999999999999">
      <c r="A172" s="1043"/>
      <c r="B172" s="1043"/>
      <c r="C172" s="1043"/>
      <c r="D172" s="1043"/>
      <c r="E172" s="1043"/>
      <c r="F172" s="1692"/>
      <c r="G172" s="1692"/>
      <c r="H172" s="407"/>
      <c r="N172" s="1422"/>
      <c r="P172" s="1422"/>
      <c r="Q172" s="1692"/>
      <c r="R172" s="1692"/>
      <c r="S172" s="1422"/>
      <c r="T172" s="1422"/>
      <c r="U172" s="1422"/>
      <c r="V172" s="1422"/>
      <c r="W172" s="1692"/>
      <c r="X172" s="1422"/>
      <c r="Y172" s="1422"/>
      <c r="Z172" s="600"/>
      <c r="AA172" s="1422"/>
      <c r="AB172" s="1422"/>
      <c r="AC172" s="1422"/>
      <c r="AD172" s="1422"/>
      <c r="AE172" s="1422"/>
      <c r="AF172" s="1688"/>
      <c r="AG172" s="678"/>
      <c r="AH172" s="678"/>
      <c r="AI172" s="678"/>
      <c r="AJ172" s="678"/>
      <c r="AK172" s="1697">
        <v>11</v>
      </c>
    </row>
    <row s="3442" customFormat="1" customHeight="1" ht="11.549999999999999">
      <c r="A173" s="1043"/>
      <c r="B173" s="1043"/>
      <c r="C173" s="1043"/>
      <c r="D173" s="1043"/>
      <c r="E173" s="1043"/>
      <c r="F173" s="1692"/>
      <c r="G173" s="1692"/>
      <c r="H173" s="407"/>
      <c r="N173" s="1422"/>
      <c r="P173" s="1422"/>
      <c r="Q173" s="1692"/>
      <c r="R173" s="1692"/>
      <c r="S173" s="1422"/>
      <c r="T173" s="1422"/>
      <c r="U173" s="1422"/>
      <c r="V173" s="1422"/>
      <c r="W173" s="1692"/>
      <c r="X173" s="1422"/>
      <c r="Y173" s="1422"/>
      <c r="Z173" s="600"/>
      <c r="AA173" s="1422"/>
      <c r="AB173" s="1422"/>
      <c r="AC173" s="1422"/>
      <c r="AD173" s="1422"/>
      <c r="AE173" s="1422"/>
      <c r="AF173" s="1688"/>
      <c r="AG173" s="678"/>
      <c r="AH173" s="678"/>
      <c r="AI173" s="678"/>
      <c r="AJ173" s="678"/>
      <c r="AK173" s="1697">
        <v>11</v>
      </c>
    </row>
    <row s="3442" customFormat="1" customHeight="1" ht="11.549999999999999">
      <c r="A174" s="1043"/>
      <c r="B174" s="1043"/>
      <c r="C174" s="1043"/>
      <c r="D174" s="1043"/>
      <c r="E174" s="1043"/>
      <c r="F174" s="1692"/>
      <c r="G174" s="1692"/>
      <c r="H174" s="407"/>
      <c r="N174" s="1422"/>
      <c r="P174" s="1422"/>
      <c r="Q174" s="1692"/>
      <c r="R174" s="1692"/>
      <c r="S174" s="1422"/>
      <c r="T174" s="1422"/>
      <c r="U174" s="1422"/>
      <c r="V174" s="1422"/>
      <c r="W174" s="1692"/>
      <c r="X174" s="1422"/>
      <c r="Y174" s="1422"/>
      <c r="Z174" s="600"/>
      <c r="AA174" s="1422"/>
      <c r="AB174" s="1422"/>
      <c r="AC174" s="1422"/>
      <c r="AD174" s="1422"/>
      <c r="AE174" s="1422"/>
      <c r="AF174" s="1688"/>
      <c r="AG174" s="678"/>
      <c r="AH174" s="678"/>
      <c r="AI174" s="678"/>
      <c r="AJ174" s="678"/>
      <c r="AK174" s="1697">
        <v>11</v>
      </c>
    </row>
    <row s="3442" customFormat="1" customHeight="1" ht="11.549999999999999">
      <c r="A175" s="1043"/>
      <c r="B175" s="1043"/>
      <c r="C175" s="1043"/>
      <c r="D175" s="1043"/>
      <c r="E175" s="1043"/>
      <c r="F175" s="1692"/>
      <c r="G175" s="1692"/>
      <c r="H175" s="407"/>
      <c r="N175" s="1422"/>
      <c r="P175" s="1422"/>
      <c r="Q175" s="1692"/>
      <c r="R175" s="1692"/>
      <c r="S175" s="1422"/>
      <c r="T175" s="1422"/>
      <c r="U175" s="1422"/>
      <c r="V175" s="1422"/>
      <c r="W175" s="1692"/>
      <c r="X175" s="1422"/>
      <c r="Y175" s="1422"/>
      <c r="Z175" s="600"/>
      <c r="AA175" s="1422"/>
      <c r="AB175" s="1422"/>
      <c r="AC175" s="1422"/>
      <c r="AD175" s="1422"/>
      <c r="AE175" s="1422"/>
      <c r="AF175" s="1688"/>
      <c r="AG175" s="678"/>
      <c r="AH175" s="678"/>
      <c r="AI175" s="678"/>
      <c r="AJ175" s="678"/>
      <c r="AK175" s="1697">
        <v>11</v>
      </c>
    </row>
    <row s="3442" customFormat="1" customHeight="1" ht="11.549999999999999">
      <c r="A176" s="1043"/>
      <c r="B176" s="1043"/>
      <c r="C176" s="1043"/>
      <c r="D176" s="1043"/>
      <c r="E176" s="1043"/>
      <c r="F176" s="1692"/>
      <c r="G176" s="1692"/>
      <c r="H176" s="407"/>
      <c r="N176" s="1422"/>
      <c r="P176" s="1422"/>
      <c r="Q176" s="1692"/>
      <c r="R176" s="1692"/>
      <c r="S176" s="1422"/>
      <c r="T176" s="1422"/>
      <c r="U176" s="1422"/>
      <c r="V176" s="1422"/>
      <c r="W176" s="1692"/>
      <c r="X176" s="1422"/>
      <c r="Y176" s="1422"/>
      <c r="Z176" s="600"/>
      <c r="AA176" s="1422"/>
      <c r="AB176" s="1422"/>
      <c r="AC176" s="1422"/>
      <c r="AD176" s="1422"/>
      <c r="AE176" s="1422"/>
      <c r="AF176" s="1688"/>
      <c r="AG176" s="678"/>
      <c r="AH176" s="678"/>
      <c r="AI176" s="678"/>
      <c r="AJ176" s="678"/>
      <c r="AK176" s="1697">
        <v>11</v>
      </c>
    </row>
    <row s="3442" customFormat="1" customHeight="1" ht="11.549999999999999">
      <c r="A177" s="1043"/>
      <c r="B177" s="1043"/>
      <c r="C177" s="1043"/>
      <c r="D177" s="1043"/>
      <c r="E177" s="1043"/>
      <c r="F177" s="1692"/>
      <c r="G177" s="1692"/>
      <c r="H177" s="407"/>
      <c r="N177" s="1422"/>
      <c r="P177" s="1422"/>
      <c r="Q177" s="1692"/>
      <c r="R177" s="1692"/>
      <c r="S177" s="1422"/>
      <c r="T177" s="1422"/>
      <c r="U177" s="1422"/>
      <c r="V177" s="1422"/>
      <c r="W177" s="1692"/>
      <c r="X177" s="1422"/>
      <c r="Y177" s="1422"/>
      <c r="Z177" s="600"/>
      <c r="AA177" s="1422"/>
      <c r="AB177" s="1422"/>
      <c r="AC177" s="1422"/>
      <c r="AD177" s="1422"/>
      <c r="AE177" s="1422"/>
      <c r="AF177" s="1688"/>
      <c r="AG177" s="678"/>
      <c r="AH177" s="678"/>
      <c r="AI177" s="678"/>
      <c r="AJ177" s="678"/>
      <c r="AK177" s="1697">
        <v>11</v>
      </c>
    </row>
    <row s="3442" customFormat="1" customHeight="1" ht="11.549999999999999">
      <c r="A178" s="1043"/>
      <c r="B178" s="1043"/>
      <c r="C178" s="1043"/>
      <c r="D178" s="1043"/>
      <c r="E178" s="1043"/>
      <c r="F178" s="1692"/>
      <c r="G178" s="1692"/>
      <c r="H178" s="407"/>
      <c r="N178" s="1422"/>
      <c r="P178" s="1422"/>
      <c r="Q178" s="1692"/>
      <c r="R178" s="1692"/>
      <c r="S178" s="1422"/>
      <c r="T178" s="1422"/>
      <c r="U178" s="1422"/>
      <c r="V178" s="1422"/>
      <c r="W178" s="1692"/>
      <c r="X178" s="1422"/>
      <c r="Y178" s="1422"/>
      <c r="Z178" s="600"/>
      <c r="AA178" s="1422"/>
      <c r="AB178" s="1422"/>
      <c r="AC178" s="1422"/>
      <c r="AD178" s="1422"/>
      <c r="AE178" s="1422"/>
      <c r="AF178" s="1688"/>
      <c r="AG178" s="678"/>
      <c r="AH178" s="678"/>
      <c r="AI178" s="678"/>
      <c r="AJ178" s="678"/>
      <c r="AK178" s="1697">
        <v>11</v>
      </c>
    </row>
    <row s="3442" customFormat="1" customHeight="1" ht="11.549999999999999">
      <c r="A179" s="1043"/>
      <c r="B179" s="1043"/>
      <c r="C179" s="1043"/>
      <c r="D179" s="1043"/>
      <c r="E179" s="1043"/>
      <c r="F179" s="1692"/>
      <c r="G179" s="1692"/>
      <c r="H179" s="407"/>
      <c r="N179" s="1422"/>
      <c r="P179" s="1422"/>
      <c r="Q179" s="1692"/>
      <c r="R179" s="1692"/>
      <c r="S179" s="1422"/>
      <c r="T179" s="1422"/>
      <c r="U179" s="1422"/>
      <c r="V179" s="1422"/>
      <c r="W179" s="1692"/>
      <c r="X179" s="1422"/>
      <c r="Y179" s="1422"/>
      <c r="Z179" s="600"/>
      <c r="AA179" s="1422"/>
      <c r="AB179" s="1422"/>
      <c r="AC179" s="1422"/>
      <c r="AD179" s="1422"/>
      <c r="AE179" s="1422"/>
      <c r="AF179" s="1688"/>
      <c r="AG179" s="678"/>
      <c r="AH179" s="678"/>
      <c r="AI179" s="678"/>
      <c r="AJ179" s="678"/>
      <c r="AK179" s="1697">
        <v>11</v>
      </c>
    </row>
    <row s="3442" customFormat="1" customHeight="1" ht="11.549999999999999">
      <c r="A180" s="1043"/>
      <c r="B180" s="1043"/>
      <c r="C180" s="1043"/>
      <c r="D180" s="1043"/>
      <c r="E180" s="1043"/>
      <c r="F180" s="1692"/>
      <c r="G180" s="1692"/>
      <c r="H180" s="407"/>
      <c r="N180" s="1422"/>
      <c r="P180" s="1422"/>
      <c r="Q180" s="1692"/>
      <c r="R180" s="1692"/>
      <c r="S180" s="1422"/>
      <c r="T180" s="1422"/>
      <c r="U180" s="1422"/>
      <c r="V180" s="1422"/>
      <c r="W180" s="1692"/>
      <c r="X180" s="1422"/>
      <c r="Y180" s="1422"/>
      <c r="Z180" s="600"/>
      <c r="AA180" s="1422"/>
      <c r="AB180" s="1422"/>
      <c r="AC180" s="1422"/>
      <c r="AD180" s="1422"/>
      <c r="AE180" s="1422"/>
      <c r="AF180" s="1688"/>
      <c r="AG180" s="678"/>
      <c r="AH180" s="678"/>
      <c r="AI180" s="678"/>
      <c r="AJ180" s="678"/>
      <c r="AK180" s="1697">
        <v>11</v>
      </c>
    </row>
    <row s="3442" customFormat="1" customHeight="1" ht="11.549999999999999">
      <c r="A181" s="1043"/>
      <c r="B181" s="1043"/>
      <c r="C181" s="1043"/>
      <c r="D181" s="1043"/>
      <c r="E181" s="1043"/>
      <c r="F181" s="1692"/>
      <c r="G181" s="1692"/>
      <c r="H181" s="407"/>
      <c r="N181" s="1422"/>
      <c r="P181" s="1422"/>
      <c r="Q181" s="1692"/>
      <c r="R181" s="1692"/>
      <c r="S181" s="1422"/>
      <c r="T181" s="1422"/>
      <c r="U181" s="1422"/>
      <c r="V181" s="1422"/>
      <c r="W181" s="1692"/>
      <c r="X181" s="1422"/>
      <c r="Y181" s="1422"/>
      <c r="Z181" s="600"/>
      <c r="AA181" s="1422"/>
      <c r="AB181" s="1422"/>
      <c r="AC181" s="1422"/>
      <c r="AD181" s="1422"/>
      <c r="AE181" s="1422"/>
      <c r="AF181" s="1688"/>
      <c r="AG181" s="678"/>
      <c r="AH181" s="678"/>
      <c r="AI181" s="678"/>
      <c r="AJ181" s="678"/>
      <c r="AK181" s="1697">
        <v>11</v>
      </c>
    </row>
    <row s="3442" customFormat="1" customHeight="1" ht="11.549999999999999">
      <c r="A182" s="1043"/>
      <c r="B182" s="1043"/>
      <c r="C182" s="1043"/>
      <c r="D182" s="1043"/>
      <c r="E182" s="1043"/>
      <c r="F182" s="1692"/>
      <c r="G182" s="1692"/>
      <c r="H182" s="407"/>
      <c r="N182" s="1422"/>
      <c r="P182" s="1422"/>
      <c r="Q182" s="1692"/>
      <c r="R182" s="1692"/>
      <c r="S182" s="1422"/>
      <c r="T182" s="1422"/>
      <c r="U182" s="1422"/>
      <c r="V182" s="1422"/>
      <c r="W182" s="1692"/>
      <c r="X182" s="1422"/>
      <c r="Y182" s="1422"/>
      <c r="Z182" s="600"/>
      <c r="AA182" s="1422"/>
      <c r="AB182" s="1422"/>
      <c r="AC182" s="1422"/>
      <c r="AD182" s="1422"/>
      <c r="AE182" s="1422"/>
      <c r="AF182" s="1688"/>
      <c r="AG182" s="678"/>
      <c r="AH182" s="678"/>
      <c r="AI182" s="678"/>
      <c r="AJ182" s="678"/>
      <c r="AK182" s="1697">
        <v>11</v>
      </c>
    </row>
    <row s="3442" customFormat="1" customHeight="1" ht="11.549999999999999">
      <c r="A183" s="1043"/>
      <c r="B183" s="1043"/>
      <c r="C183" s="1043"/>
      <c r="D183" s="1043"/>
      <c r="E183" s="1043"/>
      <c r="F183" s="1692"/>
      <c r="G183" s="1692"/>
      <c r="H183" s="407"/>
      <c r="N183" s="1422"/>
      <c r="P183" s="1422"/>
      <c r="Q183" s="1692"/>
      <c r="R183" s="1692"/>
      <c r="S183" s="1422"/>
      <c r="T183" s="1422"/>
      <c r="U183" s="1422"/>
      <c r="V183" s="1422"/>
      <c r="W183" s="1692"/>
      <c r="X183" s="1422"/>
      <c r="Y183" s="1422"/>
      <c r="Z183" s="600"/>
      <c r="AA183" s="1422"/>
      <c r="AB183" s="1422"/>
      <c r="AC183" s="1422"/>
      <c r="AD183" s="1422"/>
      <c r="AE183" s="1422"/>
      <c r="AF183" s="1688"/>
      <c r="AG183" s="678"/>
      <c r="AH183" s="678"/>
      <c r="AI183" s="678"/>
      <c r="AJ183" s="678"/>
      <c r="AK183" s="1697">
        <v>11</v>
      </c>
    </row>
    <row s="3442" customFormat="1" customHeight="1" ht="11.549999999999999">
      <c r="A184" s="1043"/>
      <c r="B184" s="1043"/>
      <c r="C184" s="1043"/>
      <c r="D184" s="1043"/>
      <c r="E184" s="1043"/>
      <c r="F184" s="1692"/>
      <c r="G184" s="1692"/>
      <c r="H184" s="407"/>
      <c r="N184" s="1422"/>
      <c r="P184" s="1422"/>
      <c r="Q184" s="1692"/>
      <c r="R184" s="1692"/>
      <c r="S184" s="1422"/>
      <c r="T184" s="1422"/>
      <c r="U184" s="1422"/>
      <c r="V184" s="1422"/>
      <c r="W184" s="1692"/>
      <c r="X184" s="1422"/>
      <c r="Y184" s="1422"/>
      <c r="Z184" s="600"/>
      <c r="AA184" s="1422"/>
      <c r="AB184" s="1422"/>
      <c r="AC184" s="1422"/>
      <c r="AD184" s="1422"/>
      <c r="AE184" s="1422"/>
      <c r="AF184" s="1688"/>
      <c r="AG184" s="678"/>
      <c r="AH184" s="678"/>
      <c r="AI184" s="678"/>
      <c r="AJ184" s="678"/>
      <c r="AK184" s="1697">
        <v>11</v>
      </c>
    </row>
    <row s="3442" customFormat="1" customHeight="1" ht="11.549999999999999">
      <c r="A185" s="1043"/>
      <c r="B185" s="1043"/>
      <c r="C185" s="1043"/>
      <c r="D185" s="1043"/>
      <c r="E185" s="1043"/>
      <c r="F185" s="1692"/>
      <c r="G185" s="1692"/>
      <c r="H185" s="407"/>
      <c r="N185" s="1422"/>
      <c r="P185" s="1422"/>
      <c r="Q185" s="1692"/>
      <c r="R185" s="1692"/>
      <c r="S185" s="1422"/>
      <c r="T185" s="1422"/>
      <c r="U185" s="1422"/>
      <c r="V185" s="1422"/>
      <c r="W185" s="1692"/>
      <c r="X185" s="1422"/>
      <c r="Y185" s="1422"/>
      <c r="Z185" s="600"/>
      <c r="AA185" s="1422"/>
      <c r="AB185" s="1422"/>
      <c r="AC185" s="1422"/>
      <c r="AD185" s="1422"/>
      <c r="AE185" s="1422"/>
      <c r="AF185" s="1688"/>
      <c r="AG185" s="678"/>
      <c r="AH185" s="678"/>
      <c r="AI185" s="678"/>
      <c r="AJ185" s="678"/>
      <c r="AK185" s="1697">
        <v>11</v>
      </c>
    </row>
    <row s="3442" customFormat="1" customHeight="1" ht="11.549999999999999">
      <c r="A186" s="1043"/>
      <c r="B186" s="1043"/>
      <c r="C186" s="1043"/>
      <c r="D186" s="1043"/>
      <c r="E186" s="1043"/>
      <c r="F186" s="1692"/>
      <c r="G186" s="1692"/>
      <c r="H186" s="407"/>
      <c r="N186" s="1422"/>
      <c r="P186" s="1422"/>
      <c r="Q186" s="1692"/>
      <c r="R186" s="1692"/>
      <c r="S186" s="1422"/>
      <c r="T186" s="1422"/>
      <c r="U186" s="1422"/>
      <c r="V186" s="1422"/>
      <c r="W186" s="1692"/>
      <c r="X186" s="1422"/>
      <c r="Y186" s="1422"/>
      <c r="Z186" s="600"/>
      <c r="AA186" s="1422"/>
      <c r="AB186" s="1422"/>
      <c r="AC186" s="1422"/>
      <c r="AD186" s="1422"/>
      <c r="AE186" s="1422"/>
      <c r="AF186" s="1688"/>
      <c r="AG186" s="678"/>
      <c r="AH186" s="678"/>
      <c r="AI186" s="678"/>
      <c r="AJ186" s="678"/>
      <c r="AK186" s="1697">
        <v>11</v>
      </c>
    </row>
    <row s="3442" customFormat="1" customHeight="1" ht="11.549999999999999">
      <c r="A187" s="1043"/>
      <c r="B187" s="1043"/>
      <c r="C187" s="1043"/>
      <c r="D187" s="1043"/>
      <c r="E187" s="1043"/>
      <c r="F187" s="1692"/>
      <c r="G187" s="1692"/>
      <c r="H187" s="407"/>
      <c r="N187" s="1422"/>
      <c r="P187" s="1422"/>
      <c r="Q187" s="1692"/>
      <c r="R187" s="1692"/>
      <c r="S187" s="1422"/>
      <c r="T187" s="1422"/>
      <c r="U187" s="1422"/>
      <c r="V187" s="1422"/>
      <c r="W187" s="1692"/>
      <c r="X187" s="1422"/>
      <c r="Y187" s="1422"/>
      <c r="Z187" s="600"/>
      <c r="AA187" s="1422"/>
      <c r="AB187" s="1422"/>
      <c r="AC187" s="1422"/>
      <c r="AD187" s="1422"/>
      <c r="AE187" s="1422"/>
      <c r="AF187" s="1688"/>
      <c r="AG187" s="678"/>
      <c r="AH187" s="678"/>
      <c r="AI187" s="678"/>
      <c r="AJ187" s="678"/>
      <c r="AK187" s="1697">
        <v>11</v>
      </c>
    </row>
    <row s="3442" customFormat="1" customHeight="1" ht="11.549999999999999">
      <c r="A188" s="1043"/>
      <c r="B188" s="1043"/>
      <c r="C188" s="1043"/>
      <c r="D188" s="1043"/>
      <c r="E188" s="1043"/>
      <c r="F188" s="1692"/>
      <c r="G188" s="1692"/>
      <c r="H188" s="407"/>
      <c r="N188" s="1422"/>
      <c r="P188" s="1422"/>
      <c r="Q188" s="1692"/>
      <c r="R188" s="1692"/>
      <c r="S188" s="1422"/>
      <c r="T188" s="1422"/>
      <c r="U188" s="1422"/>
      <c r="V188" s="1422"/>
      <c r="W188" s="1692"/>
      <c r="X188" s="1422"/>
      <c r="Y188" s="1422"/>
      <c r="Z188" s="600"/>
      <c r="AA188" s="1422"/>
      <c r="AB188" s="1422"/>
      <c r="AC188" s="1422"/>
      <c r="AD188" s="1422"/>
      <c r="AE188" s="1422"/>
      <c r="AF188" s="1688"/>
      <c r="AG188" s="678"/>
      <c r="AH188" s="678"/>
      <c r="AI188" s="678"/>
      <c r="AJ188" s="678"/>
      <c r="AK188" s="1697">
        <v>11</v>
      </c>
    </row>
    <row s="3442" customFormat="1" customHeight="1" ht="11.549999999999999">
      <c r="A189" s="1043"/>
      <c r="B189" s="1043"/>
      <c r="C189" s="1043"/>
      <c r="D189" s="1043"/>
      <c r="E189" s="1043"/>
      <c r="F189" s="1692"/>
      <c r="G189" s="1692"/>
      <c r="H189" s="407"/>
      <c r="N189" s="1422"/>
      <c r="P189" s="1422"/>
      <c r="Q189" s="1692"/>
      <c r="R189" s="1692"/>
      <c r="S189" s="1422"/>
      <c r="T189" s="1422"/>
      <c r="U189" s="1422"/>
      <c r="V189" s="1422"/>
      <c r="W189" s="1692"/>
      <c r="X189" s="1422"/>
      <c r="Y189" s="1422"/>
      <c r="Z189" s="600"/>
      <c r="AA189" s="1422"/>
      <c r="AB189" s="1422"/>
      <c r="AC189" s="1422"/>
      <c r="AD189" s="1422"/>
      <c r="AE189" s="1422"/>
      <c r="AF189" s="1688"/>
      <c r="AG189" s="678"/>
      <c r="AH189" s="678"/>
      <c r="AI189" s="678"/>
      <c r="AJ189" s="678"/>
      <c r="AK189" s="1697">
        <v>11</v>
      </c>
    </row>
    <row customHeight="1" ht="11.549999999999999">
      <c r="AK190" s="1687">
        <v>11</v>
      </c>
    </row>
    <row customHeight="1" ht="11.549999999999999">
      <c r="AK191" s="1687">
        <v>11</v>
      </c>
    </row>
    <row customHeight="1" ht="11.549999999999999">
      <c r="AK192" s="1687">
        <v>11</v>
      </c>
    </row>
    <row customHeight="1" ht="11.549999999999999">
      <c r="A193" s="1046"/>
      <c r="B193" s="1046"/>
      <c r="C193" s="1046"/>
      <c r="D193" s="1046"/>
      <c r="E193" s="1046"/>
      <c r="F193" s="1687"/>
      <c r="H193" s="1687"/>
      <c r="N193" s="1687"/>
      <c r="P193" s="1687"/>
      <c r="S193" s="1687"/>
      <c r="T193" s="1687"/>
      <c r="U193" s="1687"/>
      <c r="V193" s="1687"/>
      <c r="X193" s="1687"/>
      <c r="Y193" s="1687"/>
      <c r="Z193" s="1687"/>
      <c r="AA193" s="1687"/>
      <c r="AB193" s="1687"/>
      <c r="AC193" s="1687"/>
      <c r="AD193" s="1687"/>
      <c r="AE193" s="1687"/>
      <c r="AF193" s="1687"/>
      <c r="AG193" s="1687"/>
      <c r="AH193" s="1687"/>
      <c r="AI193" s="1687"/>
      <c r="AJ193" s="1687"/>
      <c r="AK193" s="1687">
        <v>11</v>
      </c>
    </row>
    <row customHeight="1" ht="11.549999999999999">
      <c r="A194" s="1046"/>
      <c r="B194" s="1046"/>
      <c r="C194" s="1046"/>
      <c r="D194" s="1046"/>
      <c r="E194" s="1046"/>
      <c r="F194" s="1687"/>
      <c r="H194" s="1687"/>
      <c r="N194" s="1687"/>
      <c r="P194" s="1687"/>
      <c r="S194" s="1687"/>
      <c r="T194" s="1687"/>
      <c r="U194" s="1687"/>
      <c r="V194" s="1687"/>
      <c r="X194" s="1687"/>
      <c r="Y194" s="1687"/>
      <c r="Z194" s="1687"/>
      <c r="AA194" s="1687"/>
      <c r="AB194" s="1687"/>
      <c r="AC194" s="1687"/>
      <c r="AD194" s="1687"/>
      <c r="AE194" s="1687"/>
      <c r="AF194" s="1687"/>
      <c r="AG194" s="1687"/>
      <c r="AH194" s="1687"/>
      <c r="AI194" s="1687"/>
      <c r="AJ194" s="1687"/>
      <c r="AK194" s="1687">
        <v>11</v>
      </c>
    </row>
    <row customHeight="1" ht="11.549999999999999">
      <c r="A195" s="1046"/>
      <c r="B195" s="1046"/>
      <c r="C195" s="1046"/>
      <c r="D195" s="1046"/>
      <c r="E195" s="1046"/>
      <c r="F195" s="1687"/>
      <c r="H195" s="1687"/>
      <c r="N195" s="1687"/>
      <c r="P195" s="1687"/>
      <c r="S195" s="1687"/>
      <c r="T195" s="1687"/>
      <c r="U195" s="1687"/>
      <c r="V195" s="1687"/>
      <c r="X195" s="1687"/>
      <c r="Y195" s="1687"/>
      <c r="Z195" s="1687"/>
      <c r="AA195" s="1687"/>
      <c r="AB195" s="1687"/>
      <c r="AC195" s="1687"/>
      <c r="AD195" s="1687"/>
      <c r="AE195" s="1687"/>
      <c r="AF195" s="1687"/>
      <c r="AG195" s="1687"/>
      <c r="AH195" s="1687"/>
      <c r="AI195" s="1687"/>
      <c r="AJ195" s="1687"/>
      <c r="AK195" s="1687">
        <v>11</v>
      </c>
    </row>
    <row customHeight="1" ht="11.549999999999999">
      <c r="A196" s="1046"/>
      <c r="B196" s="1046"/>
      <c r="C196" s="1046"/>
      <c r="D196" s="1046"/>
      <c r="E196" s="1046"/>
      <c r="F196" s="1687"/>
      <c r="H196" s="1687"/>
      <c r="N196" s="1687"/>
      <c r="P196" s="1687"/>
      <c r="S196" s="1687"/>
      <c r="T196" s="1687"/>
      <c r="U196" s="1687"/>
      <c r="V196" s="1687"/>
      <c r="X196" s="1687"/>
      <c r="Y196" s="1687"/>
      <c r="Z196" s="1687"/>
      <c r="AA196" s="1687"/>
      <c r="AB196" s="1687"/>
      <c r="AC196" s="1687"/>
      <c r="AD196" s="1687"/>
      <c r="AE196" s="1687"/>
      <c r="AF196" s="1687"/>
      <c r="AG196" s="1687"/>
      <c r="AH196" s="1687"/>
      <c r="AI196" s="1687"/>
      <c r="AJ196" s="1687"/>
      <c r="AK196" s="1687">
        <v>11</v>
      </c>
    </row>
    <row customHeight="1" ht="11.549999999999999">
      <c r="A197" s="1046"/>
      <c r="B197" s="1046"/>
      <c r="C197" s="1046"/>
      <c r="D197" s="1046"/>
      <c r="E197" s="1046"/>
      <c r="F197" s="1687"/>
      <c r="H197" s="1687"/>
      <c r="N197" s="1687"/>
      <c r="P197" s="1687"/>
      <c r="S197" s="1687"/>
      <c r="T197" s="1687"/>
      <c r="U197" s="1687"/>
      <c r="V197" s="1687"/>
      <c r="X197" s="1687"/>
      <c r="Y197" s="1687"/>
      <c r="Z197" s="1687"/>
      <c r="AA197" s="1687"/>
      <c r="AB197" s="1687"/>
      <c r="AC197" s="1687"/>
      <c r="AD197" s="1687"/>
      <c r="AE197" s="1687"/>
      <c r="AF197" s="1687"/>
      <c r="AG197" s="1687"/>
      <c r="AH197" s="1687"/>
      <c r="AI197" s="1687"/>
      <c r="AJ197" s="1687"/>
      <c r="AK197" s="1687">
        <v>11</v>
      </c>
    </row>
    <row customHeight="1" ht="11.549999999999999">
      <c r="A198" s="1046"/>
      <c r="B198" s="1046"/>
      <c r="C198" s="1046"/>
      <c r="D198" s="1046"/>
      <c r="E198" s="1046"/>
      <c r="F198" s="1687"/>
      <c r="H198" s="1687"/>
      <c r="N198" s="1687"/>
      <c r="P198" s="1687"/>
      <c r="S198" s="1687"/>
      <c r="T198" s="1687"/>
      <c r="U198" s="1687"/>
      <c r="V198" s="1687"/>
      <c r="X198" s="1687"/>
      <c r="Y198" s="1687"/>
      <c r="Z198" s="1687"/>
      <c r="AA198" s="1687"/>
      <c r="AB198" s="1687"/>
      <c r="AC198" s="1687"/>
      <c r="AD198" s="1687"/>
      <c r="AE198" s="1687"/>
      <c r="AF198" s="1687"/>
      <c r="AG198" s="1687"/>
      <c r="AH198" s="1687"/>
      <c r="AI198" s="1687"/>
      <c r="AJ198" s="1687"/>
      <c r="AK198" s="1687">
        <v>11</v>
      </c>
    </row>
    <row customHeight="1" ht="11.549999999999999">
      <c r="A199" s="1046"/>
      <c r="B199" s="1046"/>
      <c r="C199" s="1046"/>
      <c r="D199" s="1046"/>
      <c r="E199" s="1046"/>
      <c r="F199" s="1687"/>
      <c r="H199" s="1687"/>
      <c r="N199" s="1687"/>
      <c r="P199" s="1687"/>
      <c r="S199" s="1687"/>
      <c r="T199" s="1687"/>
      <c r="U199" s="1687"/>
      <c r="V199" s="1687"/>
      <c r="X199" s="1687"/>
      <c r="Y199" s="1687"/>
      <c r="Z199" s="1687"/>
      <c r="AA199" s="1687"/>
      <c r="AB199" s="1687"/>
      <c r="AC199" s="1687"/>
      <c r="AD199" s="1687"/>
      <c r="AE199" s="1687"/>
      <c r="AF199" s="1687"/>
      <c r="AG199" s="1687"/>
      <c r="AH199" s="1687"/>
      <c r="AI199" s="1687"/>
      <c r="AJ199" s="1687"/>
      <c r="AK199" s="1687">
        <v>11</v>
      </c>
    </row>
    <row customHeight="1" ht="11.549999999999999">
      <c r="A200" s="1046"/>
      <c r="B200" s="1046"/>
      <c r="C200" s="1046"/>
      <c r="D200" s="1046"/>
      <c r="E200" s="1046"/>
      <c r="F200" s="1687"/>
      <c r="H200" s="1687"/>
      <c r="N200" s="1687"/>
      <c r="P200" s="1687"/>
      <c r="S200" s="1687"/>
      <c r="T200" s="1687"/>
      <c r="U200" s="1687"/>
      <c r="V200" s="1687"/>
      <c r="X200" s="1687"/>
      <c r="Y200" s="1687"/>
      <c r="Z200" s="1687"/>
      <c r="AA200" s="1687"/>
      <c r="AB200" s="1687"/>
      <c r="AC200" s="1687"/>
      <c r="AD200" s="1687"/>
      <c r="AE200" s="1687"/>
      <c r="AF200" s="1687"/>
      <c r="AG200" s="1687"/>
      <c r="AH200" s="1687"/>
      <c r="AI200" s="1687"/>
      <c r="AJ200" s="1687"/>
      <c r="AK200" s="1687">
        <v>11</v>
      </c>
    </row>
    <row customHeight="1" ht="11.549999999999999">
      <c r="A201" s="1046"/>
      <c r="B201" s="1046"/>
      <c r="C201" s="1046"/>
      <c r="D201" s="1046"/>
      <c r="E201" s="1046"/>
      <c r="F201" s="1687"/>
      <c r="H201" s="1687"/>
      <c r="N201" s="1687"/>
      <c r="P201" s="1687"/>
      <c r="S201" s="1687"/>
      <c r="T201" s="1687"/>
      <c r="U201" s="1687"/>
      <c r="V201" s="1687"/>
      <c r="X201" s="1687"/>
      <c r="Y201" s="1687"/>
      <c r="Z201" s="1687"/>
      <c r="AA201" s="1687"/>
      <c r="AB201" s="1687"/>
      <c r="AC201" s="1687"/>
      <c r="AD201" s="1687"/>
      <c r="AE201" s="1687"/>
      <c r="AF201" s="1687"/>
      <c r="AG201" s="1687"/>
      <c r="AH201" s="1687"/>
      <c r="AI201" s="1687"/>
      <c r="AJ201" s="1687"/>
      <c r="AK201" s="1687">
        <v>11</v>
      </c>
    </row>
    <row customHeight="1" ht="11.549999999999999">
      <c r="A202" s="1046"/>
      <c r="B202" s="1046"/>
      <c r="C202" s="1046"/>
      <c r="D202" s="1046"/>
      <c r="E202" s="1046"/>
      <c r="F202" s="1687"/>
      <c r="H202" s="1687"/>
      <c r="N202" s="1687"/>
      <c r="P202" s="1687"/>
      <c r="S202" s="1687"/>
      <c r="T202" s="1687"/>
      <c r="U202" s="1687"/>
      <c r="V202" s="1687"/>
      <c r="X202" s="1687"/>
      <c r="Y202" s="1687"/>
      <c r="Z202" s="1687"/>
      <c r="AA202" s="1687"/>
      <c r="AB202" s="1687"/>
      <c r="AC202" s="1687"/>
      <c r="AD202" s="1687"/>
      <c r="AE202" s="1687"/>
      <c r="AF202" s="1687"/>
      <c r="AG202" s="1687"/>
      <c r="AH202" s="1687"/>
      <c r="AI202" s="1687"/>
      <c r="AJ202" s="1687"/>
      <c r="AK202" s="1687">
        <v>11</v>
      </c>
    </row>
    <row customHeight="1" ht="11.549999999999999">
      <c r="A203" s="1046"/>
      <c r="B203" s="1046"/>
      <c r="C203" s="1046"/>
      <c r="D203" s="1046"/>
      <c r="E203" s="1046"/>
      <c r="F203" s="1687"/>
      <c r="H203" s="1687"/>
      <c r="N203" s="1687"/>
      <c r="P203" s="1687"/>
      <c r="S203" s="1687"/>
      <c r="T203" s="1687"/>
      <c r="U203" s="1687"/>
      <c r="V203" s="1687"/>
      <c r="X203" s="1687"/>
      <c r="Y203" s="1687"/>
      <c r="Z203" s="1687"/>
      <c r="AA203" s="1687"/>
      <c r="AB203" s="1687"/>
      <c r="AC203" s="1687"/>
      <c r="AD203" s="1687"/>
      <c r="AE203" s="1687"/>
      <c r="AF203" s="1687"/>
      <c r="AG203" s="1687"/>
      <c r="AH203" s="1687"/>
      <c r="AI203" s="1687"/>
      <c r="AJ203" s="1687"/>
      <c r="AK203" s="1687">
        <v>11</v>
      </c>
    </row>
    <row customHeight="1" ht="12.75" hidden="1">
      <c r="A204" s="1043" t="s">
        <v>86</v>
      </c>
      <c r="B204" s="1043" t="s">
        <v>145</v>
      </c>
      <c r="C204" s="1043" t="s">
        <v>145</v>
      </c>
      <c r="D204" s="1043" t="s">
        <v>145</v>
      </c>
      <c r="E204" s="1043" t="s">
        <v>145</v>
      </c>
      <c r="F204" s="1691">
        <v>16</v>
      </c>
      <c r="G204" s="1692">
        <v>0</v>
      </c>
      <c r="H204" s="1691">
        <v>3</v>
      </c>
      <c r="I204" s="1687">
        <v>7</v>
      </c>
      <c r="J204" s="1687">
        <v>56</v>
      </c>
      <c r="K204" s="1687">
        <v>10</v>
      </c>
      <c r="L204" s="1687">
        <v>40</v>
      </c>
      <c r="M204" s="1687">
        <v>40</v>
      </c>
      <c r="N204" s="1422">
        <v>9</v>
      </c>
      <c r="O204" s="1687">
        <v>102</v>
      </c>
      <c r="P204" s="1422">
        <v>9</v>
      </c>
      <c r="Q204" s="1692">
        <v>5</v>
      </c>
      <c r="R204" s="1692">
        <v>3</v>
      </c>
      <c r="S204" s="1422">
        <v>3</v>
      </c>
      <c r="T204" s="1422">
        <v>3</v>
      </c>
      <c r="U204" s="1422">
        <v>3</v>
      </c>
      <c r="V204" s="1422">
        <v>3</v>
      </c>
      <c r="W204" s="1692">
        <v>10</v>
      </c>
      <c r="X204" s="1422">
        <v>34</v>
      </c>
      <c r="Y204" s="1422">
        <v>9</v>
      </c>
      <c r="Z204" s="600">
        <v>8</v>
      </c>
      <c r="AA204" s="1422">
        <v>8</v>
      </c>
      <c r="AB204" s="1422">
        <v>8</v>
      </c>
      <c r="AC204" s="1422">
        <v>8</v>
      </c>
      <c r="AD204" s="1422">
        <v>8</v>
      </c>
      <c r="AE204" s="1422">
        <v>8</v>
      </c>
      <c r="AF204" s="1688">
        <v>8</v>
      </c>
      <c r="AG204" s="1688">
        <v>8</v>
      </c>
      <c r="AH204" s="1688">
        <v>8</v>
      </c>
      <c r="AI204" s="1688">
        <v>8</v>
      </c>
      <c r="AJ204" s="1688">
        <v>8</v>
      </c>
      <c r="AK204" s="1687">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AF5CA5-1B7E-D456-E16A-33ECFD3D143E}" mc:Ignorable="x14ac xr xr2 xr3">
  <sheetPr>
    <tabColor theme="9" tint="-0.25"/>
  </sheetPr>
  <dimension ref="A1:W16"/>
  <sheetViews>
    <sheetView topLeftCell="A1" showGridLines="0" zoomScale="90" workbookViewId="0">
      <selection activeCell="A1" sqref="A1"/>
    </sheetView>
  </sheetViews>
  <sheetFormatPr defaultColWidth="10.57421875" customHeight="1" defaultRowHeight="14.25"/>
  <cols>
    <col min="1" max="4" style="2774" width="10.57421875" hidden="1"/>
    <col min="5" max="5" style="3680" width="9.140625" hidden="1" customWidth="1"/>
    <col min="6" max="7" style="2850" width="9.140625" hidden="1" customWidth="1"/>
    <col min="8" max="8" style="3677" width="3.00390625" customWidth="1"/>
    <col min="9" max="9" style="2774" width="6.00390625" customWidth="1"/>
    <col min="10" max="10" style="2774" width="63.00390625" customWidth="1"/>
    <col min="11" max="11" style="2774" width="9.00390625" customWidth="1"/>
    <col min="12" max="12" style="2774" width="39.00390625" customWidth="1"/>
    <col min="13" max="13" style="2774" width="89.00390625" customWidth="1"/>
    <col min="14" max="14" style="2774" width="10.00390625" customWidth="1"/>
    <col min="15" max="16" style="2933" width="10.00390625" customWidth="1"/>
    <col min="17" max="22" style="2774" width="10.00390625" customWidth="1"/>
    <col min="23" max="23" style="2774" width="10.57421875" hidden="1"/>
  </cols>
  <sheetData>
    <row customHeight="1" ht="22.5" hidden="1">
      <c r="S1" s="311"/>
      <c r="T1" s="311"/>
      <c r="V1" s="311"/>
      <c r="W1" s="1687" t="s">
        <v>14</v>
      </c>
    </row>
    <row customHeight="1" ht="22.5" hidden="1">
      <c r="B2" s="2109" t="s">
        <v>820</v>
      </c>
      <c r="C2" s="2109" t="s">
        <v>821</v>
      </c>
      <c r="D2" s="2108" t="s">
        <v>760</v>
      </c>
      <c r="E2" s="2114">
        <f>I2-3</f>
        <v>-3</v>
      </c>
      <c r="F2" s="2114">
        <f>J2</f>
        <v>0</v>
      </c>
      <c r="H2" s="1786" t="s">
        <v>109</v>
      </c>
      <c r="I2" s="2080"/>
      <c r="J2" s="1738"/>
      <c r="K2" s="2074" t="s">
        <v>438</v>
      </c>
      <c r="L2" s="1220"/>
      <c r="M2" s="353"/>
      <c r="N2" s="1680"/>
      <c r="P2" s="1687"/>
      <c r="W2" s="1687">
        <v>0</v>
      </c>
    </row>
    <row customHeight="1" ht="14.25" hidden="1">
      <c r="W3" s="1687">
        <v>0</v>
      </c>
    </row>
    <row customHeight="1" ht="6.3">
      <c r="H4" s="432"/>
      <c r="I4" s="513"/>
      <c r="J4" s="513"/>
      <c r="K4" s="513"/>
      <c r="L4" s="141"/>
      <c r="M4" s="141"/>
      <c r="W4" s="1687">
        <v>6</v>
      </c>
    </row>
    <row customHeight="1" ht="50.25">
      <c r="H5" s="432"/>
      <c r="I5" s="2304" t="s">
        <v>822</v>
      </c>
      <c r="J5" s="2304"/>
      <c r="K5" s="2304"/>
      <c r="L5" s="2304"/>
      <c r="M5" s="322"/>
      <c r="W5" s="1687">
        <v>48</v>
      </c>
    </row>
    <row customHeight="1" ht="18">
      <c r="H6" s="432"/>
      <c r="I6" s="2305" t="str">
        <f>IF(org=0,"Не определено",org)</f>
        <v>МУП ЖКХ "Родник"</v>
      </c>
      <c r="J6" s="2305"/>
      <c r="K6" s="2305"/>
      <c r="L6" s="2305"/>
      <c r="M6" s="322"/>
      <c r="W6" s="1687">
        <v>17</v>
      </c>
    </row>
    <row customHeight="1" ht="14.699999999999998">
      <c r="H7" s="432"/>
      <c r="I7" s="513"/>
      <c r="J7" s="519"/>
      <c r="K7" s="519"/>
      <c r="L7" s="808"/>
      <c r="M7" s="249"/>
      <c r="W7" s="1687">
        <v>14</v>
      </c>
    </row>
    <row customHeight="1" ht="14.699999999999998">
      <c r="H8" s="432"/>
      <c r="I8" s="2442" t="s">
        <v>432</v>
      </c>
      <c r="J8" s="2443"/>
      <c r="K8" s="2443"/>
      <c r="L8" s="2444"/>
      <c r="M8" s="2445" t="s">
        <v>433</v>
      </c>
      <c r="W8" s="1687">
        <v>14</v>
      </c>
    </row>
    <row customHeight="1" ht="35.699999999999996">
      <c r="E9" s="2107" t="s">
        <v>751</v>
      </c>
      <c r="F9" s="2107" t="s">
        <v>757</v>
      </c>
      <c r="H9" s="432"/>
      <c r="I9" s="2081" t="s">
        <v>92</v>
      </c>
      <c r="J9" s="2082" t="s">
        <v>434</v>
      </c>
      <c r="K9" s="2120" t="s">
        <v>699</v>
      </c>
      <c r="L9" s="2121" t="s">
        <v>435</v>
      </c>
      <c r="M9" s="2445"/>
      <c r="W9" s="1687">
        <v>34</v>
      </c>
    </row>
    <row customHeight="1" ht="35.699999999999996">
      <c r="B10" s="2109" t="s">
        <v>823</v>
      </c>
      <c r="C10" s="2109" t="s">
        <v>824</v>
      </c>
      <c r="D10" s="2108" t="s">
        <v>760</v>
      </c>
      <c r="E10" s="2112" t="s">
        <v>761</v>
      </c>
      <c r="F10" s="2112" t="s">
        <v>761</v>
      </c>
      <c r="H10" s="432"/>
      <c r="I10" s="2080" t="s">
        <v>191</v>
      </c>
      <c r="J10" s="1942" t="s">
        <v>825</v>
      </c>
      <c r="K10" s="2074" t="s">
        <v>438</v>
      </c>
      <c r="L10" s="874"/>
      <c r="M10" s="353" t="s">
        <v>826</v>
      </c>
      <c r="W10" s="1687">
        <v>34</v>
      </c>
    </row>
    <row customHeight="1" ht="50.25">
      <c r="B11" s="2109" t="s">
        <v>827</v>
      </c>
      <c r="C11" s="2109" t="s">
        <v>828</v>
      </c>
      <c r="D11" s="2108" t="s">
        <v>760</v>
      </c>
      <c r="E11" s="2112" t="s">
        <v>761</v>
      </c>
      <c r="F11" s="2112" t="s">
        <v>761</v>
      </c>
      <c r="H11" s="432"/>
      <c r="I11" s="2080" t="s">
        <v>108</v>
      </c>
      <c r="J11" s="1942" t="s">
        <v>829</v>
      </c>
      <c r="K11" s="2074" t="s">
        <v>438</v>
      </c>
      <c r="L11" s="874"/>
      <c r="M11" s="353" t="s">
        <v>826</v>
      </c>
      <c r="W11" s="1687">
        <v>48</v>
      </c>
    </row>
    <row customHeight="1" ht="48.29999999999999">
      <c r="B12" s="2109" t="s">
        <v>830</v>
      </c>
      <c r="C12" s="2109" t="s">
        <v>831</v>
      </c>
      <c r="D12" s="2108" t="s">
        <v>760</v>
      </c>
      <c r="E12" s="2112" t="s">
        <v>761</v>
      </c>
      <c r="F12" s="2112" t="s">
        <v>761</v>
      </c>
      <c r="H12" s="1744"/>
      <c r="I12" s="2080" t="s">
        <v>94</v>
      </c>
      <c r="J12" s="2087" t="s">
        <v>832</v>
      </c>
      <c r="K12" s="2074" t="s">
        <v>438</v>
      </c>
      <c r="L12" s="874"/>
      <c r="M12" s="353" t="s">
        <v>833</v>
      </c>
      <c r="N12" s="1680"/>
      <c r="P12" s="1687"/>
      <c r="W12" s="1687">
        <v>46</v>
      </c>
    </row>
    <row customHeight="1" ht="14.699999999999998">
      <c r="E13" s="399"/>
      <c r="H13" s="432"/>
      <c r="I13" s="403"/>
      <c r="J13" s="707" t="s">
        <v>834</v>
      </c>
      <c r="K13" s="627"/>
      <c r="L13" s="270"/>
      <c r="M13" s="353"/>
      <c r="W13" s="1687">
        <v>14</v>
      </c>
    </row>
    <row customHeight="1" ht="14.699999999999998">
      <c r="E14" s="399"/>
      <c r="H14" s="432"/>
      <c r="I14" s="1113"/>
      <c r="J14" s="1733"/>
      <c r="K14" s="1734"/>
      <c r="L14" s="1735"/>
      <c r="M14" s="2084"/>
      <c r="W14" s="1687">
        <v>14</v>
      </c>
    </row>
    <row customHeight="1" ht="14.699999999999998">
      <c r="I15" s="1737"/>
      <c r="J15" s="2441"/>
      <c r="K15" s="2441"/>
      <c r="L15" s="2441"/>
      <c r="M15" s="2441"/>
      <c r="W15" s="1687">
        <v>14</v>
      </c>
    </row>
    <row customHeight="1" ht="21" hidden="1">
      <c r="A16" s="2086" t="s">
        <v>86</v>
      </c>
      <c r="B16" s="1687">
        <v>9</v>
      </c>
      <c r="C16" s="1687">
        <v>9</v>
      </c>
      <c r="D16" s="1687">
        <v>9</v>
      </c>
      <c r="E16" s="2086" t="s">
        <v>140</v>
      </c>
      <c r="F16" s="2111" t="s">
        <v>140</v>
      </c>
      <c r="G16" s="2113"/>
      <c r="H16" s="400">
        <v>3</v>
      </c>
      <c r="I16" s="1687">
        <v>6</v>
      </c>
      <c r="J16" s="1687">
        <v>63</v>
      </c>
      <c r="K16" s="1687">
        <v>9</v>
      </c>
      <c r="L16" s="1687">
        <v>39</v>
      </c>
      <c r="M16" s="1687">
        <v>89</v>
      </c>
      <c r="N16" s="1687">
        <v>10</v>
      </c>
      <c r="O16" s="1680">
        <v>10</v>
      </c>
      <c r="P16" s="1680">
        <v>10</v>
      </c>
      <c r="Q16" s="1687">
        <v>10</v>
      </c>
      <c r="R16" s="1687">
        <v>10</v>
      </c>
      <c r="S16" s="1687">
        <v>10</v>
      </c>
      <c r="T16" s="1687">
        <v>10</v>
      </c>
      <c r="U16" s="1687">
        <v>10</v>
      </c>
      <c r="V16" s="1687">
        <v>10</v>
      </c>
      <c r="W16" s="1687">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A72742-1D05-2B29-81A4-EE5C28577C1F}" mc:Ignorable="x14ac xr xr2 xr3">
  <sheetPr>
    <tabColor theme="9" tint="-0.25"/>
  </sheetPr>
  <dimension ref="A1:AF217"/>
  <sheetViews>
    <sheetView topLeftCell="A1" showGridLines="0" zoomScale="90" workbookViewId="0">
      <selection activeCell="A1" sqref="A1"/>
    </sheetView>
  </sheetViews>
  <sheetFormatPr defaultColWidth="9.140625" customHeight="1" defaultRowHeight="11.25"/>
  <cols>
    <col min="1" max="1" style="12353" width="10.7109375" hidden="1" customWidth="1"/>
    <col min="2" max="2" style="2850" width="16.8515625" hidden="1" customWidth="1"/>
    <col min="3" max="3" style="2851" width="5.57421875" hidden="1" customWidth="1"/>
    <col min="4" max="4" style="2774" width="3.00390625" customWidth="1"/>
    <col min="5" max="5" style="2774" width="7.00390625" customWidth="1"/>
    <col min="6" max="6" style="2774" width="56.00390625" customWidth="1"/>
    <col min="7" max="7" style="2774" width="10.00390625" customWidth="1"/>
    <col min="8" max="8" style="2774" width="40.7109375" hidden="1" customWidth="1"/>
    <col min="9" max="9" style="2774" width="40.00390625" customWidth="1"/>
    <col min="10" max="10" style="2774" width="102.00390625" customWidth="1"/>
    <col min="11" max="11" style="2850" width="9.00390625" customWidth="1"/>
    <col min="12" max="12" style="2851" width="5.00390625" customWidth="1"/>
    <col min="13" max="13" style="2851" width="3.00390625" customWidth="1"/>
    <col min="14" max="17" style="2850" width="3.00390625" customWidth="1"/>
    <col min="18" max="18" style="2851" width="10.00390625" customWidth="1"/>
    <col min="19" max="19" style="2850" width="34.00390625" customWidth="1"/>
    <col min="20" max="20" style="2850" width="9.00390625" customWidth="1"/>
    <col min="21" max="21" style="12423" width="8.00390625" customWidth="1"/>
    <col min="22" max="26" style="2850" width="8.00390625" customWidth="1"/>
    <col min="27" max="31" style="2738" width="8.00390625" customWidth="1"/>
    <col min="32" max="32" style="2774" width="10.421875" hidden="1" customWidth="1"/>
  </cols>
  <sheetData>
    <row s="2850" customFormat="1" customHeight="1" ht="22.5" hidden="1">
      <c r="A1" s="1043"/>
      <c r="C1" s="1692"/>
      <c r="D1" s="593"/>
      <c r="H1" s="1216">
        <v>4</v>
      </c>
      <c r="I1" s="1216">
        <v>4</v>
      </c>
      <c r="L1" s="1692"/>
      <c r="M1" s="1692"/>
      <c r="R1" s="1692"/>
      <c r="AF1" s="1216" t="s">
        <v>14</v>
      </c>
    </row>
    <row s="2850" customFormat="1" customHeight="1" ht="22.5" hidden="1">
      <c r="A2" s="1043"/>
      <c r="C2" s="1692"/>
      <c r="D2" s="594"/>
      <c r="E2" s="1693"/>
      <c r="F2" s="596"/>
      <c r="G2" s="1695" t="s">
        <v>685</v>
      </c>
      <c r="H2" s="597"/>
      <c r="I2" s="597"/>
      <c r="J2" s="598" t="s">
        <v>835</v>
      </c>
      <c r="K2" s="599"/>
      <c r="L2" s="1692"/>
      <c r="M2" s="1692"/>
      <c r="R2" s="1692"/>
      <c r="U2" s="600"/>
      <c r="AA2" s="1688"/>
      <c r="AB2" s="1688"/>
      <c r="AC2" s="1688"/>
      <c r="AD2" s="1688"/>
      <c r="AE2" s="1688"/>
      <c r="AF2" s="1216">
        <v>0</v>
      </c>
    </row>
    <row customHeight="1" ht="11.25" hidden="1">
      <c r="AF3" s="1687">
        <v>0</v>
      </c>
    </row>
    <row s="2738" customFormat="1" customHeight="1" ht="11.25" hidden="1">
      <c r="A4" s="1043"/>
      <c r="B4" s="1216"/>
      <c r="C4" s="1692"/>
      <c r="D4" s="418"/>
      <c r="J4" s="1688">
        <v>4</v>
      </c>
      <c r="K4" s="1216"/>
      <c r="L4" s="1692"/>
      <c r="M4" s="1692"/>
      <c r="N4" s="1216"/>
      <c r="O4" s="1216"/>
      <c r="P4" s="1216"/>
      <c r="Q4" s="1216"/>
      <c r="R4" s="1692"/>
      <c r="S4" s="1216"/>
      <c r="T4" s="1216"/>
      <c r="U4" s="600"/>
      <c r="V4" s="1216"/>
      <c r="W4" s="1216"/>
      <c r="X4" s="1216"/>
      <c r="Y4" s="1216"/>
      <c r="Z4" s="1216"/>
      <c r="AF4" s="1688">
        <v>0</v>
      </c>
    </row>
    <row customHeight="1" ht="11.549999999999999">
      <c r="AF5" s="1687">
        <v>11</v>
      </c>
    </row>
    <row customHeight="1" ht="31.5">
      <c r="E6" s="2363" t="s">
        <v>836</v>
      </c>
      <c r="F6" s="2363"/>
      <c r="G6" s="2363"/>
      <c r="H6" s="2363"/>
      <c r="I6" s="2363"/>
      <c r="J6" s="612"/>
      <c r="AF6" s="1687">
        <v>30</v>
      </c>
    </row>
    <row customHeight="1" ht="11.549999999999999">
      <c r="E7" s="2305" t="str">
        <f>IF(org=0,"Не определено",org)</f>
        <v>МУП ЖКХ "Родник"</v>
      </c>
      <c r="F7" s="2305"/>
      <c r="G7" s="2305"/>
      <c r="H7" s="2305"/>
      <c r="I7" s="2305"/>
      <c r="AF7" s="1687">
        <v>11</v>
      </c>
    </row>
    <row customHeight="1" ht="11.549999999999999">
      <c r="E8" s="1191"/>
      <c r="F8" s="1191"/>
      <c r="G8" s="1191"/>
      <c r="H8" s="1191"/>
      <c r="I8" s="1191"/>
      <c r="AF8" s="1687">
        <v>11</v>
      </c>
    </row>
    <row s="2851" customFormat="1" customHeight="1" ht="4.2">
      <c r="A9" s="1223"/>
      <c r="D9" s="1698"/>
      <c r="H9" s="945"/>
      <c r="I9" s="945" t="s">
        <v>196</v>
      </c>
      <c r="AF9" s="1692">
        <v>4</v>
      </c>
    </row>
    <row customHeight="1" ht="11.549999999999999">
      <c r="E10" s="767"/>
      <c r="F10" s="2423" t="s">
        <v>187</v>
      </c>
      <c r="G10" s="2424"/>
      <c r="H10" s="1608" t="str">
        <f>IF(H9="","",INDEX(DIFFERENTIATION_UNMERGE_VD,MATCH(H9,DIFFERENTIATION_ID_DIFF,0)))</f>
        <v/>
      </c>
      <c r="I10" s="1608">
        <f>IF(I9="","",INDEX(DIFFERENTIATION_UNMERGE_VD,MATCH(I9,DIFFERENTIATION_ID_DIFF,0)))</f>
        <v>0</v>
      </c>
      <c r="J10" s="2183"/>
      <c r="AF10" s="1687">
        <v>11</v>
      </c>
    </row>
    <row customHeight="1" ht="11.549999999999999">
      <c r="E11" s="767"/>
      <c r="F11" s="2423" t="s">
        <v>697</v>
      </c>
      <c r="G11" s="2424"/>
      <c r="H11" s="1608" t="str">
        <f>IF(H9="","",INDEX(DIFFERENTIATION_UNMERGE_AREA,MATCH(H9,DIFFERENTIATION_ID_DIFF,0)))</f>
        <v/>
      </c>
      <c r="I11" s="1608" t="str">
        <f>IF(I9="","",INDEX(DIFFERENTIATION_UNMERGE_AREA,MATCH(I9,DIFFERENTIATION_ID_DIFF,0)))</f>
        <v/>
      </c>
      <c r="J11" s="2183"/>
      <c r="AF11" s="1687">
        <v>11</v>
      </c>
    </row>
    <row customHeight="1" ht="1.05">
      <c r="E12" s="1718"/>
      <c r="F12" s="2446" t="s">
        <v>698</v>
      </c>
      <c r="G12" s="2447"/>
      <c r="H12" s="1719" t="str">
        <f>IF(H9="","",INDEX(DIFFERENTIATION_UNMERGE_SYSTEM,MATCH(H9,DIFFERENTIATION_ID_DIFF,0)))</f>
        <v/>
      </c>
      <c r="I12" s="1719" t="str">
        <f>IF(I9="","",INDEX(DIFFERENTIATION_UNMERGE_SYSTEM,MATCH(I9,DIFFERENTIATION_ID_DIFF,0)))</f>
        <v>без дифференциации</v>
      </c>
      <c r="J12" s="2183"/>
      <c r="AF12" s="1687">
        <v>1</v>
      </c>
    </row>
    <row customHeight="1" ht="11.549999999999999">
      <c r="E13" s="2425" t="s">
        <v>432</v>
      </c>
      <c r="F13" s="2426"/>
      <c r="G13" s="2426"/>
      <c r="H13" s="1607"/>
      <c r="I13" s="1607"/>
      <c r="J13" s="2183"/>
      <c r="AF13" s="1687">
        <v>11</v>
      </c>
    </row>
    <row customHeight="1" ht="24">
      <c r="E14" s="1695" t="s">
        <v>92</v>
      </c>
      <c r="F14" s="1690" t="s">
        <v>434</v>
      </c>
      <c r="G14" s="1690" t="s">
        <v>699</v>
      </c>
      <c r="H14" s="1690" t="s">
        <v>435</v>
      </c>
      <c r="I14" s="1690" t="s">
        <v>435</v>
      </c>
      <c r="J14" s="2183"/>
      <c r="AF14" s="1687">
        <v>23</v>
      </c>
    </row>
    <row customHeight="1" ht="19.95">
      <c r="D15" s="1694"/>
      <c r="E15" s="1686" t="s">
        <v>191</v>
      </c>
      <c r="F15" s="763" t="s">
        <v>837</v>
      </c>
      <c r="G15" s="1702" t="s">
        <v>685</v>
      </c>
      <c r="H15" s="613"/>
      <c r="I15" s="613"/>
      <c r="J15" s="345" t="s">
        <v>838</v>
      </c>
      <c r="K15" s="599" t="s">
        <v>763</v>
      </c>
      <c r="AF15" s="1687">
        <v>19</v>
      </c>
    </row>
    <row customHeight="1" ht="35.699999999999996">
      <c r="D16" s="1694"/>
      <c r="E16" s="1686" t="s">
        <v>108</v>
      </c>
      <c r="F16" s="763" t="s">
        <v>839</v>
      </c>
      <c r="G16" s="1702" t="s">
        <v>685</v>
      </c>
      <c r="H16" s="614">
        <f>SUM(H17,H20:H32)</f>
        <v>0</v>
      </c>
      <c r="I16" s="614">
        <f>SUM(I17,I20,I23,I26,I29:I32)</f>
        <v>0</v>
      </c>
      <c r="J16" s="345" t="s">
        <v>840</v>
      </c>
      <c r="K16" s="599" t="s">
        <v>763</v>
      </c>
      <c r="AF16" s="1687">
        <v>34</v>
      </c>
    </row>
    <row customHeight="1" ht="19.95">
      <c r="D17" s="1694"/>
      <c r="E17" s="1720" t="s">
        <v>841</v>
      </c>
      <c r="F17" s="1010" t="s">
        <v>842</v>
      </c>
      <c r="G17" s="1699" t="s">
        <v>685</v>
      </c>
      <c r="H17" s="613"/>
      <c r="I17" s="613"/>
      <c r="J17" s="345" t="s">
        <v>843</v>
      </c>
      <c r="K17" s="599"/>
      <c r="AF17" s="1687">
        <v>19</v>
      </c>
    </row>
    <row customHeight="1" ht="24">
      <c r="D18" s="1694"/>
      <c r="E18" s="1720" t="s">
        <v>844</v>
      </c>
      <c r="F18" s="1706" t="s">
        <v>845</v>
      </c>
      <c r="G18" s="1699" t="s">
        <v>685</v>
      </c>
      <c r="H18" s="613"/>
      <c r="I18" s="613"/>
      <c r="J18" s="345" t="s">
        <v>846</v>
      </c>
      <c r="K18" s="599"/>
      <c r="AF18" s="1687">
        <v>23</v>
      </c>
    </row>
    <row customHeight="1" ht="35.699999999999996">
      <c r="D19" s="1694"/>
      <c r="E19" s="1720" t="s">
        <v>847</v>
      </c>
      <c r="F19" s="1706" t="s">
        <v>848</v>
      </c>
      <c r="G19" s="1699" t="s">
        <v>685</v>
      </c>
      <c r="H19" s="613"/>
      <c r="I19" s="613"/>
      <c r="J19" s="345"/>
      <c r="K19" s="599"/>
      <c r="AF19" s="1687">
        <v>34</v>
      </c>
    </row>
    <row customHeight="1" ht="19.95">
      <c r="D20" s="1694"/>
      <c r="E20" s="1720" t="s">
        <v>439</v>
      </c>
      <c r="F20" s="1010" t="s">
        <v>849</v>
      </c>
      <c r="G20" s="1699" t="s">
        <v>685</v>
      </c>
      <c r="H20" s="613"/>
      <c r="I20" s="613"/>
      <c r="J20" s="345" t="s">
        <v>850</v>
      </c>
      <c r="K20" s="599"/>
      <c r="AF20" s="1687">
        <v>19</v>
      </c>
    </row>
    <row customHeight="1" ht="19.95">
      <c r="D21" s="1694"/>
      <c r="E21" s="1720" t="s">
        <v>851</v>
      </c>
      <c r="F21" s="1706" t="s">
        <v>852</v>
      </c>
      <c r="G21" s="1699" t="s">
        <v>685</v>
      </c>
      <c r="H21" s="613"/>
      <c r="I21" s="613"/>
      <c r="J21" s="345"/>
      <c r="K21" s="599"/>
      <c r="AF21" s="1687">
        <v>19</v>
      </c>
    </row>
    <row customHeight="1" ht="19.95">
      <c r="D22" s="1694"/>
      <c r="E22" s="1720" t="s">
        <v>853</v>
      </c>
      <c r="F22" s="1706" t="s">
        <v>854</v>
      </c>
      <c r="G22" s="1699" t="s">
        <v>685</v>
      </c>
      <c r="H22" s="613"/>
      <c r="I22" s="613"/>
      <c r="J22" s="345"/>
      <c r="K22" s="599"/>
      <c r="AF22" s="1687">
        <v>19</v>
      </c>
    </row>
    <row customHeight="1" ht="24">
      <c r="D23" s="1694"/>
      <c r="E23" s="1720" t="s">
        <v>442</v>
      </c>
      <c r="F23" s="1010" t="s">
        <v>855</v>
      </c>
      <c r="G23" s="1699" t="s">
        <v>685</v>
      </c>
      <c r="H23" s="613"/>
      <c r="I23" s="613"/>
      <c r="J23" s="345" t="s">
        <v>856</v>
      </c>
      <c r="K23" s="599"/>
      <c r="AF23" s="1687">
        <v>23</v>
      </c>
    </row>
    <row customHeight="1" ht="19.95">
      <c r="D24" s="1694"/>
      <c r="E24" s="1720" t="s">
        <v>857</v>
      </c>
      <c r="F24" s="1706" t="s">
        <v>858</v>
      </c>
      <c r="G24" s="1699" t="s">
        <v>685</v>
      </c>
      <c r="H24" s="613"/>
      <c r="I24" s="613"/>
      <c r="J24" s="345"/>
      <c r="K24" s="599"/>
      <c r="AF24" s="1687">
        <v>19</v>
      </c>
    </row>
    <row customHeight="1" ht="35.699999999999996">
      <c r="D25" s="1694"/>
      <c r="E25" s="1720" t="s">
        <v>859</v>
      </c>
      <c r="F25" s="1706" t="s">
        <v>860</v>
      </c>
      <c r="G25" s="1699" t="s">
        <v>685</v>
      </c>
      <c r="H25" s="613"/>
      <c r="I25" s="613"/>
      <c r="J25" s="345"/>
      <c r="K25" s="599"/>
      <c r="AF25" s="1687">
        <v>34</v>
      </c>
    </row>
    <row customHeight="1" ht="24">
      <c r="D26" s="1694"/>
      <c r="E26" s="1720" t="s">
        <v>861</v>
      </c>
      <c r="F26" s="1010" t="s">
        <v>862</v>
      </c>
      <c r="G26" s="1699" t="s">
        <v>685</v>
      </c>
      <c r="H26" s="613"/>
      <c r="I26" s="613"/>
      <c r="J26" s="345" t="s">
        <v>863</v>
      </c>
      <c r="K26" s="599"/>
      <c r="AF26" s="1687">
        <v>23</v>
      </c>
    </row>
    <row customHeight="1" ht="19.95">
      <c r="D27" s="1694"/>
      <c r="E27" s="1731" t="s">
        <v>864</v>
      </c>
      <c r="F27" s="1706" t="s">
        <v>865</v>
      </c>
      <c r="G27" s="1710" t="s">
        <v>685</v>
      </c>
      <c r="H27" s="1732"/>
      <c r="I27" s="1732"/>
      <c r="J27" s="345"/>
      <c r="K27" s="599"/>
      <c r="AF27" s="1687">
        <v>19</v>
      </c>
    </row>
    <row customHeight="1" ht="19.95">
      <c r="D28" s="1694"/>
      <c r="E28" s="1731" t="s">
        <v>866</v>
      </c>
      <c r="F28" s="1706" t="s">
        <v>867</v>
      </c>
      <c r="G28" s="1710" t="s">
        <v>685</v>
      </c>
      <c r="H28" s="1732"/>
      <c r="I28" s="1732"/>
      <c r="J28" s="345"/>
      <c r="K28" s="599"/>
      <c r="AF28" s="1687">
        <v>19</v>
      </c>
    </row>
    <row customHeight="1" ht="19.95">
      <c r="D29" s="1694"/>
      <c r="E29" s="1731" t="s">
        <v>868</v>
      </c>
      <c r="F29" s="1010" t="s">
        <v>869</v>
      </c>
      <c r="G29" s="1710" t="s">
        <v>685</v>
      </c>
      <c r="H29" s="1732"/>
      <c r="I29" s="1732"/>
      <c r="J29" s="345"/>
      <c r="K29" s="599"/>
      <c r="AF29" s="1687">
        <v>19</v>
      </c>
    </row>
    <row customHeight="1" ht="19.95">
      <c r="D30" s="1694"/>
      <c r="E30" s="1731" t="s">
        <v>870</v>
      </c>
      <c r="F30" s="1010" t="s">
        <v>871</v>
      </c>
      <c r="G30" s="1710" t="s">
        <v>685</v>
      </c>
      <c r="H30" s="1732"/>
      <c r="I30" s="1732"/>
      <c r="J30" s="345"/>
      <c r="K30" s="599"/>
      <c r="AF30" s="1687">
        <v>19</v>
      </c>
    </row>
    <row customHeight="1" ht="19.95">
      <c r="D31" s="1694"/>
      <c r="E31" s="1731" t="s">
        <v>872</v>
      </c>
      <c r="F31" s="1010" t="s">
        <v>873</v>
      </c>
      <c r="G31" s="1710" t="s">
        <v>685</v>
      </c>
      <c r="H31" s="1732"/>
      <c r="I31" s="1732"/>
      <c r="J31" s="345"/>
      <c r="K31" s="599"/>
      <c r="AF31" s="1687">
        <v>19</v>
      </c>
    </row>
    <row s="2850" customFormat="1" customHeight="1" ht="35.699999999999996">
      <c r="A32" s="1043"/>
      <c r="C32" s="1692"/>
      <c r="D32" s="1694"/>
      <c r="E32" s="1731" t="s">
        <v>874</v>
      </c>
      <c r="F32" s="1010" t="s">
        <v>875</v>
      </c>
      <c r="G32" s="1700" t="s">
        <v>685</v>
      </c>
      <c r="H32" s="635">
        <f>SUM(H33:H34)</f>
        <v>0</v>
      </c>
      <c r="I32" s="635">
        <f>SUM(I33:I34)</f>
        <v>0</v>
      </c>
      <c r="J32" s="345" t="s">
        <v>876</v>
      </c>
      <c r="K32" s="599"/>
      <c r="L32" s="1692"/>
      <c r="M32" s="1692"/>
      <c r="R32" s="1692"/>
      <c r="U32" s="600"/>
      <c r="AA32" s="1688"/>
      <c r="AB32" s="1688"/>
      <c r="AC32" s="1688"/>
      <c r="AD32" s="1688"/>
      <c r="AE32" s="1688"/>
      <c r="AF32" s="1216">
        <v>34</v>
      </c>
    </row>
    <row s="2851" customFormat="1" customHeight="1" ht="1.05">
      <c r="A33" s="1223"/>
      <c r="D33" s="604"/>
      <c r="E33" s="858" t="str">
        <f>E32&amp;".0"</f>
        <v>2.8.0</v>
      </c>
      <c r="F33" s="1047"/>
      <c r="G33" s="607"/>
      <c r="H33" s="1048"/>
      <c r="I33" s="1048"/>
      <c r="J33" s="1049"/>
      <c r="AF33" s="1692">
        <v>1</v>
      </c>
    </row>
    <row s="2850" customFormat="1" customHeight="1" ht="19.95">
      <c r="A34" s="1043"/>
      <c r="C34" s="1692"/>
      <c r="D34" s="1689"/>
      <c r="E34" s="626"/>
      <c r="F34" s="1722" t="s">
        <v>710</v>
      </c>
      <c r="G34" s="628"/>
      <c r="H34" s="629"/>
      <c r="I34" s="629"/>
      <c r="J34" s="357" t="s">
        <v>877</v>
      </c>
      <c r="K34" s="599"/>
      <c r="L34" s="1692"/>
      <c r="M34" s="1692"/>
      <c r="R34" s="1692"/>
      <c r="U34" s="600"/>
      <c r="AA34" s="1688"/>
      <c r="AB34" s="1688"/>
      <c r="AC34" s="1688"/>
      <c r="AD34" s="1688"/>
      <c r="AE34" s="1688"/>
      <c r="AF34" s="1216">
        <v>19</v>
      </c>
    </row>
    <row customHeight="1" ht="60">
      <c r="D35" s="1694"/>
      <c r="E35" s="1731" t="s">
        <v>878</v>
      </c>
      <c r="F35" s="1010" t="s">
        <v>879</v>
      </c>
      <c r="G35" s="1710" t="s">
        <v>685</v>
      </c>
      <c r="H35" s="1732"/>
      <c r="I35" s="1732"/>
      <c r="J35" s="345" t="s">
        <v>880</v>
      </c>
      <c r="K35" s="599"/>
      <c r="AF35" s="1687">
        <v>57</v>
      </c>
    </row>
    <row s="2850" customFormat="1" customHeight="1" ht="24">
      <c r="A36" s="1045" t="s">
        <v>711</v>
      </c>
      <c r="C36" s="1692"/>
      <c r="D36" s="1694"/>
      <c r="E36" s="1720" t="s">
        <v>94</v>
      </c>
      <c r="F36" s="763" t="s">
        <v>881</v>
      </c>
      <c r="G36" s="1699" t="s">
        <v>685</v>
      </c>
      <c r="H36" s="613"/>
      <c r="I36" s="613"/>
      <c r="J36" s="345" t="s">
        <v>882</v>
      </c>
      <c r="K36" s="599"/>
      <c r="L36" s="1692"/>
      <c r="M36" s="1692"/>
      <c r="R36" s="1692"/>
      <c r="U36" s="600"/>
      <c r="AA36" s="1688"/>
      <c r="AB36" s="1688"/>
      <c r="AC36" s="1688"/>
      <c r="AD36" s="1688"/>
      <c r="AE36" s="1688"/>
      <c r="AF36" s="1216">
        <v>23</v>
      </c>
    </row>
    <row s="2850" customFormat="1" customHeight="1" ht="35.699999999999996">
      <c r="A37" s="1045"/>
      <c r="C37" s="1692"/>
      <c r="D37" s="1694"/>
      <c r="E37" s="1720" t="s">
        <v>456</v>
      </c>
      <c r="F37" s="1010" t="s">
        <v>883</v>
      </c>
      <c r="G37" s="1710"/>
      <c r="H37" s="613"/>
      <c r="I37" s="613"/>
      <c r="J37" s="345"/>
      <c r="K37" s="599"/>
      <c r="L37" s="1692"/>
      <c r="M37" s="1692"/>
      <c r="R37" s="1692"/>
      <c r="U37" s="600"/>
      <c r="AA37" s="1688"/>
      <c r="AB37" s="1688"/>
      <c r="AC37" s="1688"/>
      <c r="AD37" s="1688"/>
      <c r="AE37" s="1688"/>
      <c r="AF37" s="1216">
        <v>34</v>
      </c>
    </row>
    <row s="2850" customFormat="1" customHeight="1" ht="19.95">
      <c r="A38" s="1043"/>
      <c r="C38" s="1692"/>
      <c r="D38" s="631"/>
      <c r="E38" s="1720" t="s">
        <v>95</v>
      </c>
      <c r="F38" s="763" t="s">
        <v>884</v>
      </c>
      <c r="G38" s="1699" t="s">
        <v>685</v>
      </c>
      <c r="H38" s="613"/>
      <c r="I38" s="613"/>
      <c r="J38" s="345" t="s">
        <v>885</v>
      </c>
      <c r="K38" s="599"/>
      <c r="L38" s="1692"/>
      <c r="M38" s="1692"/>
      <c r="R38" s="1692"/>
      <c r="U38" s="600"/>
      <c r="AA38" s="1688"/>
      <c r="AB38" s="1688"/>
      <c r="AC38" s="1688"/>
      <c r="AD38" s="1688"/>
      <c r="AE38" s="1688"/>
      <c r="AF38" s="1216">
        <v>19</v>
      </c>
    </row>
    <row s="2850" customFormat="1" customHeight="1" ht="24">
      <c r="A39" s="1043"/>
      <c r="C39" s="1692"/>
      <c r="D39" s="631"/>
      <c r="E39" s="1720" t="s">
        <v>886</v>
      </c>
      <c r="F39" s="1010" t="s">
        <v>887</v>
      </c>
      <c r="G39" s="1710" t="s">
        <v>685</v>
      </c>
      <c r="H39" s="613"/>
      <c r="I39" s="613"/>
      <c r="J39" s="345" t="s">
        <v>888</v>
      </c>
      <c r="K39" s="599"/>
      <c r="L39" s="1692"/>
      <c r="M39" s="1692"/>
      <c r="R39" s="1692"/>
      <c r="U39" s="600"/>
      <c r="AA39" s="1688"/>
      <c r="AB39" s="1688"/>
      <c r="AC39" s="1688"/>
      <c r="AD39" s="1688"/>
      <c r="AE39" s="1688"/>
      <c r="AF39" s="1216">
        <v>23</v>
      </c>
    </row>
    <row s="2850" customFormat="1" customHeight="1" ht="24">
      <c r="A40" s="1043"/>
      <c r="C40" s="1692"/>
      <c r="D40" s="1694"/>
      <c r="E40" s="1720" t="s">
        <v>889</v>
      </c>
      <c r="F40" s="1706" t="s">
        <v>890</v>
      </c>
      <c r="G40" s="1699" t="s">
        <v>685</v>
      </c>
      <c r="H40" s="613"/>
      <c r="I40" s="613"/>
      <c r="J40" s="345" t="s">
        <v>891</v>
      </c>
      <c r="K40" s="599"/>
      <c r="L40" s="1692"/>
      <c r="M40" s="1692"/>
      <c r="R40" s="1692"/>
      <c r="U40" s="600"/>
      <c r="AA40" s="1688"/>
      <c r="AB40" s="1688"/>
      <c r="AC40" s="1688"/>
      <c r="AD40" s="1688"/>
      <c r="AE40" s="1688"/>
      <c r="AF40" s="1216">
        <v>23</v>
      </c>
    </row>
    <row s="2850" customFormat="1" customHeight="1" ht="24">
      <c r="A41" s="1043"/>
      <c r="C41" s="1692"/>
      <c r="D41" s="1694"/>
      <c r="E41" s="1720" t="s">
        <v>892</v>
      </c>
      <c r="F41" s="1706" t="s">
        <v>893</v>
      </c>
      <c r="G41" s="1699" t="s">
        <v>685</v>
      </c>
      <c r="H41" s="613"/>
      <c r="I41" s="613"/>
      <c r="J41" s="345" t="s">
        <v>894</v>
      </c>
      <c r="K41" s="599"/>
      <c r="L41" s="1692"/>
      <c r="M41" s="1692"/>
      <c r="R41" s="1692"/>
      <c r="U41" s="600"/>
      <c r="AA41" s="1688"/>
      <c r="AB41" s="1688"/>
      <c r="AC41" s="1688"/>
      <c r="AD41" s="1688"/>
      <c r="AE41" s="1688"/>
      <c r="AF41" s="1216">
        <v>23</v>
      </c>
    </row>
    <row s="2850" customFormat="1" customHeight="1" ht="24">
      <c r="A42" s="1043"/>
      <c r="C42" s="1692"/>
      <c r="D42" s="1694"/>
      <c r="E42" s="1720" t="s">
        <v>895</v>
      </c>
      <c r="F42" s="1706" t="s">
        <v>896</v>
      </c>
      <c r="G42" s="1699" t="s">
        <v>685</v>
      </c>
      <c r="H42" s="613"/>
      <c r="I42" s="613"/>
      <c r="J42" s="345" t="s">
        <v>897</v>
      </c>
      <c r="K42" s="599"/>
      <c r="L42" s="1692"/>
      <c r="M42" s="1692"/>
      <c r="R42" s="1692"/>
      <c r="U42" s="600"/>
      <c r="AA42" s="1688"/>
      <c r="AB42" s="1688"/>
      <c r="AC42" s="1688"/>
      <c r="AD42" s="1688"/>
      <c r="AE42" s="1688"/>
      <c r="AF42" s="1216">
        <v>23</v>
      </c>
    </row>
    <row s="2850" customFormat="1" customHeight="1" ht="35.699999999999996">
      <c r="A43" s="1043"/>
      <c r="C43" s="1692" t="s">
        <v>721</v>
      </c>
      <c r="D43" s="1694"/>
      <c r="E43" s="1720" t="s">
        <v>122</v>
      </c>
      <c r="F43" s="763" t="s">
        <v>762</v>
      </c>
      <c r="G43" s="1702" t="s">
        <v>898</v>
      </c>
      <c r="H43" s="457"/>
      <c r="I43" s="457"/>
      <c r="J43" s="345" t="s">
        <v>899</v>
      </c>
      <c r="K43" s="599"/>
      <c r="L43" s="1692"/>
      <c r="M43" s="1692"/>
      <c r="R43" s="1692"/>
      <c r="U43" s="600"/>
      <c r="AA43" s="1688"/>
      <c r="AB43" s="1688"/>
      <c r="AC43" s="1688"/>
      <c r="AD43" s="1688"/>
      <c r="AE43" s="1688"/>
      <c r="AF43" s="1216">
        <v>34</v>
      </c>
    </row>
    <row s="2850" customFormat="1" customHeight="1" ht="35.699999999999996">
      <c r="A44" s="1043"/>
      <c r="C44" s="1692"/>
      <c r="D44" s="1694"/>
      <c r="E44" s="1720" t="s">
        <v>96</v>
      </c>
      <c r="F44" s="763" t="s">
        <v>900</v>
      </c>
      <c r="G44" s="1699" t="s">
        <v>901</v>
      </c>
      <c r="H44" s="601"/>
      <c r="I44" s="601"/>
      <c r="J44" s="345" t="s">
        <v>902</v>
      </c>
      <c r="K44" s="599"/>
      <c r="L44" s="1692"/>
      <c r="M44" s="1692"/>
      <c r="R44" s="1692"/>
      <c r="U44" s="600"/>
      <c r="AA44" s="1688"/>
      <c r="AB44" s="1688"/>
      <c r="AC44" s="1688"/>
      <c r="AD44" s="1688"/>
      <c r="AE44" s="1688"/>
      <c r="AF44" s="1216">
        <v>34</v>
      </c>
    </row>
    <row s="2850" customFormat="1" customHeight="1" ht="24">
      <c r="A45" s="1043"/>
      <c r="C45" s="1692"/>
      <c r="D45" s="1694"/>
      <c r="E45" s="1720" t="s">
        <v>97</v>
      </c>
      <c r="F45" s="763" t="s">
        <v>903</v>
      </c>
      <c r="G45" s="1710" t="s">
        <v>904</v>
      </c>
      <c r="H45" s="601"/>
      <c r="I45" s="601"/>
      <c r="J45" s="345" t="s">
        <v>905</v>
      </c>
      <c r="K45" s="599"/>
      <c r="L45" s="1692"/>
      <c r="M45" s="1692"/>
      <c r="R45" s="1692"/>
      <c r="U45" s="600"/>
      <c r="AA45" s="1688"/>
      <c r="AB45" s="1688"/>
      <c r="AC45" s="1688"/>
      <c r="AD45" s="1688"/>
      <c r="AE45" s="1688"/>
      <c r="AF45" s="1216">
        <v>23</v>
      </c>
    </row>
    <row s="2850" customFormat="1" customHeight="1" ht="19.95">
      <c r="A46" s="1043"/>
      <c r="C46" s="1692"/>
      <c r="D46" s="1694"/>
      <c r="E46" s="1720" t="s">
        <v>135</v>
      </c>
      <c r="F46" s="763" t="s">
        <v>906</v>
      </c>
      <c r="G46" s="1699" t="s">
        <v>723</v>
      </c>
      <c r="H46" s="633"/>
      <c r="I46" s="633"/>
      <c r="J46" s="345"/>
      <c r="K46" s="599"/>
      <c r="L46" s="1692"/>
      <c r="M46" s="1692"/>
      <c r="R46" s="1692"/>
      <c r="U46" s="600"/>
      <c r="AA46" s="1688"/>
      <c r="AB46" s="1688"/>
      <c r="AC46" s="1688"/>
      <c r="AD46" s="1688"/>
      <c r="AE46" s="1688"/>
      <c r="AF46" s="1216">
        <v>19</v>
      </c>
    </row>
    <row customHeight="1" ht="11.549999999999999">
      <c r="D47" s="1694"/>
      <c r="AF47" s="1687">
        <v>11</v>
      </c>
    </row>
    <row s="3442" customFormat="1" customHeight="1" ht="11.549999999999999">
      <c r="A48" s="1043"/>
      <c r="B48" s="1692"/>
      <c r="C48" s="1692"/>
      <c r="D48" s="407"/>
      <c r="K48" s="1216"/>
      <c r="L48" s="1692"/>
      <c r="M48" s="1692"/>
      <c r="N48" s="1216"/>
      <c r="O48" s="1216"/>
      <c r="P48" s="1216"/>
      <c r="Q48" s="1216"/>
      <c r="R48" s="1692"/>
      <c r="S48" s="1216"/>
      <c r="T48" s="1216"/>
      <c r="U48" s="600"/>
      <c r="V48" s="1216"/>
      <c r="W48" s="1216"/>
      <c r="X48" s="1216"/>
      <c r="Y48" s="1216"/>
      <c r="Z48" s="1216"/>
      <c r="AA48" s="1688"/>
      <c r="AB48" s="622"/>
      <c r="AC48" s="622"/>
      <c r="AD48" s="622"/>
      <c r="AE48" s="622"/>
      <c r="AF48" s="1697">
        <v>11</v>
      </c>
    </row>
    <row s="3442" customFormat="1" customHeight="1" ht="11.549999999999999">
      <c r="A49" s="1043"/>
      <c r="B49" s="1692"/>
      <c r="C49" s="1692"/>
      <c r="D49" s="407"/>
      <c r="K49" s="1216"/>
      <c r="L49" s="1692"/>
      <c r="M49" s="1692"/>
      <c r="N49" s="1216"/>
      <c r="O49" s="1216"/>
      <c r="P49" s="1216"/>
      <c r="Q49" s="1216"/>
      <c r="R49" s="1692"/>
      <c r="S49" s="1216"/>
      <c r="T49" s="1216"/>
      <c r="U49" s="600"/>
      <c r="V49" s="1216"/>
      <c r="W49" s="1216"/>
      <c r="X49" s="1216"/>
      <c r="Y49" s="1216"/>
      <c r="Z49" s="1216"/>
      <c r="AA49" s="1688"/>
      <c r="AB49" s="622"/>
      <c r="AC49" s="622"/>
      <c r="AD49" s="622"/>
      <c r="AE49" s="622"/>
      <c r="AF49" s="1697">
        <v>11</v>
      </c>
    </row>
    <row s="3442" customFormat="1" customHeight="1" ht="11.549999999999999">
      <c r="A50" s="1043"/>
      <c r="B50" s="1692"/>
      <c r="C50" s="1692"/>
      <c r="D50" s="407"/>
      <c r="H50" s="622"/>
      <c r="I50" s="622"/>
      <c r="K50" s="1216"/>
      <c r="L50" s="1692"/>
      <c r="M50" s="1692"/>
      <c r="N50" s="1216"/>
      <c r="O50" s="1216"/>
      <c r="P50" s="1216"/>
      <c r="Q50" s="1216"/>
      <c r="R50" s="1692"/>
      <c r="S50" s="1216"/>
      <c r="T50" s="1216"/>
      <c r="U50" s="600"/>
      <c r="V50" s="1216"/>
      <c r="W50" s="1216"/>
      <c r="X50" s="1216"/>
      <c r="Y50" s="1216"/>
      <c r="Z50" s="1216"/>
      <c r="AA50" s="1688"/>
      <c r="AB50" s="622"/>
      <c r="AC50" s="622"/>
      <c r="AD50" s="622"/>
      <c r="AE50" s="622"/>
      <c r="AF50" s="1697">
        <v>11</v>
      </c>
    </row>
    <row s="3442" customFormat="1" customHeight="1" ht="11.549999999999999">
      <c r="A51" s="1043"/>
      <c r="B51" s="1692"/>
      <c r="C51" s="1692"/>
      <c r="D51" s="407"/>
      <c r="K51" s="1216"/>
      <c r="L51" s="1692"/>
      <c r="M51" s="1692"/>
      <c r="N51" s="1216"/>
      <c r="O51" s="1216"/>
      <c r="P51" s="1216"/>
      <c r="Q51" s="1216"/>
      <c r="R51" s="1692"/>
      <c r="S51" s="1216"/>
      <c r="T51" s="1216"/>
      <c r="U51" s="600"/>
      <c r="V51" s="1216"/>
      <c r="W51" s="1216"/>
      <c r="X51" s="1216"/>
      <c r="Y51" s="1216"/>
      <c r="Z51" s="1216"/>
      <c r="AA51" s="1688"/>
      <c r="AB51" s="622"/>
      <c r="AC51" s="622"/>
      <c r="AD51" s="622"/>
      <c r="AE51" s="622"/>
      <c r="AF51" s="1697">
        <v>11</v>
      </c>
    </row>
    <row s="3442" customFormat="1" customHeight="1" ht="11.549999999999999">
      <c r="A52" s="1043"/>
      <c r="B52" s="1692"/>
      <c r="C52" s="1692"/>
      <c r="D52" s="407"/>
      <c r="K52" s="1216"/>
      <c r="L52" s="1692"/>
      <c r="M52" s="1692"/>
      <c r="N52" s="1216"/>
      <c r="O52" s="1216"/>
      <c r="P52" s="1216"/>
      <c r="Q52" s="1216"/>
      <c r="R52" s="1692"/>
      <c r="S52" s="1216"/>
      <c r="T52" s="1216"/>
      <c r="U52" s="600"/>
      <c r="V52" s="1216"/>
      <c r="W52" s="1216"/>
      <c r="X52" s="1216"/>
      <c r="Y52" s="1216"/>
      <c r="Z52" s="1216"/>
      <c r="AA52" s="1688"/>
      <c r="AB52" s="622"/>
      <c r="AC52" s="622"/>
      <c r="AD52" s="622"/>
      <c r="AE52" s="622"/>
      <c r="AF52" s="1697">
        <v>11</v>
      </c>
    </row>
    <row s="3442" customFormat="1" customHeight="1" ht="11.549999999999999">
      <c r="A53" s="1043"/>
      <c r="B53" s="1692"/>
      <c r="C53" s="1692"/>
      <c r="D53" s="407"/>
      <c r="K53" s="1216"/>
      <c r="L53" s="1692"/>
      <c r="M53" s="1692"/>
      <c r="N53" s="1216"/>
      <c r="O53" s="1216"/>
      <c r="P53" s="1216"/>
      <c r="Q53" s="1216"/>
      <c r="R53" s="1692"/>
      <c r="S53" s="1216"/>
      <c r="T53" s="1216"/>
      <c r="U53" s="600"/>
      <c r="V53" s="1216"/>
      <c r="W53" s="1216"/>
      <c r="X53" s="1216"/>
      <c r="Y53" s="1216"/>
      <c r="Z53" s="1216"/>
      <c r="AA53" s="1688"/>
      <c r="AB53" s="622"/>
      <c r="AC53" s="622"/>
      <c r="AD53" s="622"/>
      <c r="AE53" s="622"/>
      <c r="AF53" s="1697">
        <v>11</v>
      </c>
    </row>
    <row s="3442" customFormat="1" customHeight="1" ht="11.549999999999999">
      <c r="A54" s="1043"/>
      <c r="B54" s="1692"/>
      <c r="C54" s="1692"/>
      <c r="D54" s="407"/>
      <c r="K54" s="1216"/>
      <c r="L54" s="1692"/>
      <c r="M54" s="1692"/>
      <c r="N54" s="1216"/>
      <c r="O54" s="1216"/>
      <c r="P54" s="1216"/>
      <c r="Q54" s="1216"/>
      <c r="R54" s="1692"/>
      <c r="S54" s="1216"/>
      <c r="T54" s="1216"/>
      <c r="U54" s="600"/>
      <c r="V54" s="1216"/>
      <c r="W54" s="1216"/>
      <c r="X54" s="1216"/>
      <c r="Y54" s="1216"/>
      <c r="Z54" s="1216"/>
      <c r="AA54" s="1688"/>
      <c r="AB54" s="622"/>
      <c r="AC54" s="622"/>
      <c r="AD54" s="622"/>
      <c r="AE54" s="622"/>
      <c r="AF54" s="1697">
        <v>11</v>
      </c>
    </row>
    <row s="3442" customFormat="1" customHeight="1" ht="11.549999999999999">
      <c r="A55" s="1043"/>
      <c r="B55" s="1692"/>
      <c r="C55" s="1692"/>
      <c r="D55" s="407"/>
      <c r="K55" s="1216"/>
      <c r="L55" s="1692"/>
      <c r="M55" s="1692"/>
      <c r="N55" s="1216"/>
      <c r="O55" s="1216"/>
      <c r="P55" s="1216"/>
      <c r="Q55" s="1216"/>
      <c r="R55" s="1692"/>
      <c r="S55" s="1216"/>
      <c r="T55" s="1216"/>
      <c r="U55" s="600"/>
      <c r="V55" s="1216"/>
      <c r="W55" s="1216"/>
      <c r="X55" s="1216"/>
      <c r="Y55" s="1216"/>
      <c r="Z55" s="1216"/>
      <c r="AA55" s="1688"/>
      <c r="AB55" s="622"/>
      <c r="AC55" s="622"/>
      <c r="AD55" s="622"/>
      <c r="AE55" s="622"/>
      <c r="AF55" s="1697">
        <v>11</v>
      </c>
    </row>
    <row s="3442" customFormat="1" customHeight="1" ht="11.549999999999999">
      <c r="A56" s="1043"/>
      <c r="B56" s="1692"/>
      <c r="C56" s="1692"/>
      <c r="D56" s="407"/>
      <c r="K56" s="1216"/>
      <c r="L56" s="1692"/>
      <c r="M56" s="1692"/>
      <c r="N56" s="1216"/>
      <c r="O56" s="1216"/>
      <c r="P56" s="1216"/>
      <c r="Q56" s="1216"/>
      <c r="R56" s="1692"/>
      <c r="S56" s="1216"/>
      <c r="T56" s="1216"/>
      <c r="U56" s="600"/>
      <c r="V56" s="1216"/>
      <c r="W56" s="1216"/>
      <c r="X56" s="1216"/>
      <c r="Y56" s="1216"/>
      <c r="Z56" s="1216"/>
      <c r="AA56" s="1688"/>
      <c r="AB56" s="622"/>
      <c r="AC56" s="622"/>
      <c r="AD56" s="622"/>
      <c r="AE56" s="622"/>
      <c r="AF56" s="1697">
        <v>11</v>
      </c>
    </row>
    <row s="3442" customFormat="1" customHeight="1" ht="11.549999999999999">
      <c r="A57" s="1043"/>
      <c r="B57" s="1692"/>
      <c r="C57" s="1692"/>
      <c r="D57" s="407"/>
      <c r="K57" s="1216"/>
      <c r="L57" s="1692"/>
      <c r="M57" s="1692"/>
      <c r="N57" s="1216"/>
      <c r="O57" s="1216"/>
      <c r="P57" s="1216"/>
      <c r="Q57" s="1216"/>
      <c r="R57" s="1692"/>
      <c r="S57" s="1216"/>
      <c r="T57" s="1216"/>
      <c r="U57" s="600"/>
      <c r="V57" s="1216"/>
      <c r="W57" s="1216"/>
      <c r="X57" s="1216"/>
      <c r="Y57" s="1216"/>
      <c r="Z57" s="1216"/>
      <c r="AA57" s="1688"/>
      <c r="AB57" s="622"/>
      <c r="AC57" s="622"/>
      <c r="AD57" s="622"/>
      <c r="AE57" s="622"/>
      <c r="AF57" s="1697">
        <v>11</v>
      </c>
    </row>
    <row s="3442" customFormat="1" customHeight="1" ht="11.549999999999999">
      <c r="A58" s="1043"/>
      <c r="B58" s="1692"/>
      <c r="C58" s="1692"/>
      <c r="D58" s="407"/>
      <c r="K58" s="1216"/>
      <c r="L58" s="1692"/>
      <c r="M58" s="1692"/>
      <c r="N58" s="1216"/>
      <c r="O58" s="1216"/>
      <c r="P58" s="1216"/>
      <c r="Q58" s="1216"/>
      <c r="R58" s="1692"/>
      <c r="S58" s="1216"/>
      <c r="T58" s="1216"/>
      <c r="U58" s="600"/>
      <c r="V58" s="1216"/>
      <c r="W58" s="1216"/>
      <c r="X58" s="1216"/>
      <c r="Y58" s="1216"/>
      <c r="Z58" s="1216"/>
      <c r="AA58" s="1688"/>
      <c r="AB58" s="622"/>
      <c r="AC58" s="622"/>
      <c r="AD58" s="622"/>
      <c r="AE58" s="622"/>
      <c r="AF58" s="1697">
        <v>11</v>
      </c>
    </row>
    <row s="3442" customFormat="1" customHeight="1" ht="11.549999999999999">
      <c r="A59" s="1043"/>
      <c r="B59" s="1692"/>
      <c r="C59" s="1692"/>
      <c r="D59" s="407"/>
      <c r="K59" s="1216"/>
      <c r="L59" s="1692"/>
      <c r="M59" s="1692"/>
      <c r="N59" s="1216"/>
      <c r="O59" s="1216"/>
      <c r="P59" s="1216"/>
      <c r="Q59" s="1216"/>
      <c r="R59" s="1692"/>
      <c r="S59" s="1216"/>
      <c r="T59" s="1216"/>
      <c r="U59" s="600"/>
      <c r="V59" s="1216"/>
      <c r="W59" s="1216"/>
      <c r="X59" s="1216"/>
      <c r="Y59" s="1216"/>
      <c r="Z59" s="1216"/>
      <c r="AA59" s="1688"/>
      <c r="AB59" s="622"/>
      <c r="AC59" s="622"/>
      <c r="AD59" s="622"/>
      <c r="AE59" s="622"/>
      <c r="AF59" s="1697">
        <v>11</v>
      </c>
    </row>
    <row s="3442" customFormat="1" customHeight="1" ht="11.549999999999999">
      <c r="A60" s="1043"/>
      <c r="B60" s="1692"/>
      <c r="C60" s="1692"/>
      <c r="D60" s="407"/>
      <c r="K60" s="1216"/>
      <c r="L60" s="1692"/>
      <c r="M60" s="1692"/>
      <c r="N60" s="1216"/>
      <c r="O60" s="1216"/>
      <c r="P60" s="1216"/>
      <c r="Q60" s="1216"/>
      <c r="R60" s="1692"/>
      <c r="S60" s="1216"/>
      <c r="T60" s="1216"/>
      <c r="U60" s="600"/>
      <c r="V60" s="1216"/>
      <c r="W60" s="1216"/>
      <c r="X60" s="1216"/>
      <c r="Y60" s="1216"/>
      <c r="Z60" s="1216"/>
      <c r="AA60" s="1688"/>
      <c r="AB60" s="622"/>
      <c r="AC60" s="622"/>
      <c r="AD60" s="622"/>
      <c r="AE60" s="622"/>
      <c r="AF60" s="1697">
        <v>11</v>
      </c>
    </row>
    <row s="3442" customFormat="1" customHeight="1" ht="11.549999999999999">
      <c r="A61" s="1043"/>
      <c r="B61" s="1692"/>
      <c r="C61" s="1692"/>
      <c r="D61" s="407"/>
      <c r="K61" s="1216"/>
      <c r="L61" s="1692"/>
      <c r="M61" s="1692"/>
      <c r="N61" s="1216"/>
      <c r="O61" s="1216"/>
      <c r="P61" s="1216"/>
      <c r="Q61" s="1216"/>
      <c r="R61" s="1692"/>
      <c r="S61" s="1216"/>
      <c r="T61" s="1216"/>
      <c r="U61" s="600"/>
      <c r="V61" s="1216"/>
      <c r="W61" s="1216"/>
      <c r="X61" s="1216"/>
      <c r="Y61" s="1216"/>
      <c r="Z61" s="1216"/>
      <c r="AA61" s="1688"/>
      <c r="AB61" s="622"/>
      <c r="AC61" s="622"/>
      <c r="AD61" s="622"/>
      <c r="AE61" s="622"/>
      <c r="AF61" s="1697">
        <v>11</v>
      </c>
    </row>
    <row s="3442" customFormat="1" customHeight="1" ht="11.549999999999999">
      <c r="A62" s="1043"/>
      <c r="B62" s="1692"/>
      <c r="C62" s="1692"/>
      <c r="D62" s="407"/>
      <c r="K62" s="1216"/>
      <c r="L62" s="1692"/>
      <c r="M62" s="1692"/>
      <c r="N62" s="1216"/>
      <c r="O62" s="1216"/>
      <c r="P62" s="1216"/>
      <c r="Q62" s="1216"/>
      <c r="R62" s="1692"/>
      <c r="S62" s="1216"/>
      <c r="T62" s="1216"/>
      <c r="U62" s="600"/>
      <c r="V62" s="1216"/>
      <c r="W62" s="1216"/>
      <c r="X62" s="1216"/>
      <c r="Y62" s="1216"/>
      <c r="Z62" s="1216"/>
      <c r="AA62" s="1688"/>
      <c r="AB62" s="622"/>
      <c r="AC62" s="622"/>
      <c r="AD62" s="622"/>
      <c r="AE62" s="622"/>
      <c r="AF62" s="1697">
        <v>11</v>
      </c>
    </row>
    <row s="3442" customFormat="1" customHeight="1" ht="11.549999999999999">
      <c r="A63" s="1043"/>
      <c r="B63" s="1692"/>
      <c r="C63" s="1692"/>
      <c r="D63" s="407"/>
      <c r="K63" s="1216"/>
      <c r="L63" s="1692"/>
      <c r="M63" s="1692"/>
      <c r="N63" s="1216"/>
      <c r="O63" s="1216"/>
      <c r="P63" s="1216"/>
      <c r="Q63" s="1216"/>
      <c r="R63" s="1692"/>
      <c r="S63" s="1216"/>
      <c r="T63" s="1216"/>
      <c r="U63" s="600"/>
      <c r="V63" s="1216"/>
      <c r="W63" s="1216"/>
      <c r="X63" s="1216"/>
      <c r="Y63" s="1216"/>
      <c r="Z63" s="1216"/>
      <c r="AA63" s="1688"/>
      <c r="AB63" s="622"/>
      <c r="AC63" s="622"/>
      <c r="AD63" s="622"/>
      <c r="AE63" s="622"/>
      <c r="AF63" s="1697">
        <v>11</v>
      </c>
    </row>
    <row s="3442" customFormat="1" customHeight="1" ht="11.549999999999999">
      <c r="A64" s="1043"/>
      <c r="B64" s="1692"/>
      <c r="C64" s="1692"/>
      <c r="D64" s="407"/>
      <c r="K64" s="1216"/>
      <c r="L64" s="1692"/>
      <c r="M64" s="1692"/>
      <c r="N64" s="1216"/>
      <c r="O64" s="1216"/>
      <c r="P64" s="1216"/>
      <c r="Q64" s="1216"/>
      <c r="R64" s="1692"/>
      <c r="S64" s="1216"/>
      <c r="T64" s="1216"/>
      <c r="U64" s="600"/>
      <c r="V64" s="1216"/>
      <c r="W64" s="1216"/>
      <c r="X64" s="1216"/>
      <c r="Y64" s="1216"/>
      <c r="Z64" s="1216"/>
      <c r="AA64" s="1688"/>
      <c r="AB64" s="622"/>
      <c r="AC64" s="622"/>
      <c r="AD64" s="622"/>
      <c r="AE64" s="622"/>
      <c r="AF64" s="1697">
        <v>11</v>
      </c>
    </row>
    <row s="3442" customFormat="1" customHeight="1" ht="11.549999999999999">
      <c r="A65" s="1043"/>
      <c r="B65" s="1692"/>
      <c r="C65" s="1692"/>
      <c r="D65" s="407"/>
      <c r="K65" s="1216"/>
      <c r="L65" s="1692"/>
      <c r="M65" s="1692"/>
      <c r="N65" s="1216"/>
      <c r="O65" s="1216"/>
      <c r="P65" s="1216"/>
      <c r="Q65" s="1216"/>
      <c r="R65" s="1692"/>
      <c r="S65" s="1216"/>
      <c r="T65" s="1216"/>
      <c r="U65" s="600"/>
      <c r="V65" s="1216"/>
      <c r="W65" s="1216"/>
      <c r="X65" s="1216"/>
      <c r="Y65" s="1216"/>
      <c r="Z65" s="1216"/>
      <c r="AA65" s="1688"/>
      <c r="AB65" s="622"/>
      <c r="AC65" s="622"/>
      <c r="AD65" s="622"/>
      <c r="AE65" s="622"/>
      <c r="AF65" s="1697">
        <v>11</v>
      </c>
    </row>
    <row s="3442" customFormat="1" customHeight="1" ht="11.549999999999999">
      <c r="A66" s="1043"/>
      <c r="B66" s="1692"/>
      <c r="C66" s="1692"/>
      <c r="D66" s="407"/>
      <c r="K66" s="1216"/>
      <c r="L66" s="1692"/>
      <c r="M66" s="1692"/>
      <c r="N66" s="1216"/>
      <c r="O66" s="1216"/>
      <c r="P66" s="1216"/>
      <c r="Q66" s="1216"/>
      <c r="R66" s="1692"/>
      <c r="S66" s="1216"/>
      <c r="T66" s="1216"/>
      <c r="U66" s="600"/>
      <c r="V66" s="1216"/>
      <c r="W66" s="1216"/>
      <c r="X66" s="1216"/>
      <c r="Y66" s="1216"/>
      <c r="Z66" s="1216"/>
      <c r="AA66" s="1688"/>
      <c r="AB66" s="622"/>
      <c r="AC66" s="622"/>
      <c r="AD66" s="622"/>
      <c r="AE66" s="622"/>
      <c r="AF66" s="1697">
        <v>11</v>
      </c>
    </row>
    <row s="3442" customFormat="1" customHeight="1" ht="11.549999999999999">
      <c r="A67" s="1043"/>
      <c r="B67" s="1692"/>
      <c r="C67" s="1692"/>
      <c r="D67" s="407"/>
      <c r="K67" s="1216"/>
      <c r="L67" s="1692"/>
      <c r="M67" s="1692"/>
      <c r="N67" s="1216"/>
      <c r="O67" s="1216"/>
      <c r="P67" s="1216"/>
      <c r="Q67" s="1216"/>
      <c r="R67" s="1692"/>
      <c r="S67" s="1216"/>
      <c r="T67" s="1216"/>
      <c r="U67" s="600"/>
      <c r="V67" s="1216"/>
      <c r="W67" s="1216"/>
      <c r="X67" s="1216"/>
      <c r="Y67" s="1216"/>
      <c r="Z67" s="1216"/>
      <c r="AA67" s="1688"/>
      <c r="AB67" s="622"/>
      <c r="AC67" s="622"/>
      <c r="AD67" s="622"/>
      <c r="AE67" s="622"/>
      <c r="AF67" s="1697">
        <v>11</v>
      </c>
    </row>
    <row s="3442" customFormat="1" customHeight="1" ht="11.549999999999999">
      <c r="A68" s="1043"/>
      <c r="B68" s="1692"/>
      <c r="C68" s="1692"/>
      <c r="D68" s="407"/>
      <c r="K68" s="1216"/>
      <c r="L68" s="1692"/>
      <c r="M68" s="1692"/>
      <c r="N68" s="1216"/>
      <c r="O68" s="1216"/>
      <c r="P68" s="1216"/>
      <c r="Q68" s="1216"/>
      <c r="R68" s="1692"/>
      <c r="S68" s="1216"/>
      <c r="T68" s="1216"/>
      <c r="U68" s="600"/>
      <c r="V68" s="1216"/>
      <c r="W68" s="1216"/>
      <c r="X68" s="1216"/>
      <c r="Y68" s="1216"/>
      <c r="Z68" s="1216"/>
      <c r="AA68" s="1688"/>
      <c r="AB68" s="622"/>
      <c r="AC68" s="622"/>
      <c r="AD68" s="622"/>
      <c r="AE68" s="622"/>
      <c r="AF68" s="1697">
        <v>11</v>
      </c>
    </row>
    <row s="3442" customFormat="1" customHeight="1" ht="11.549999999999999">
      <c r="A69" s="1043"/>
      <c r="B69" s="1692"/>
      <c r="C69" s="1692"/>
      <c r="D69" s="407"/>
      <c r="K69" s="1216"/>
      <c r="L69" s="1692"/>
      <c r="M69" s="1692"/>
      <c r="N69" s="1216"/>
      <c r="O69" s="1216"/>
      <c r="P69" s="1216"/>
      <c r="Q69" s="1216"/>
      <c r="R69" s="1692"/>
      <c r="S69" s="1216"/>
      <c r="T69" s="1216"/>
      <c r="U69" s="600"/>
      <c r="V69" s="1216"/>
      <c r="W69" s="1216"/>
      <c r="X69" s="1216"/>
      <c r="Y69" s="1216"/>
      <c r="Z69" s="1216"/>
      <c r="AA69" s="1688"/>
      <c r="AB69" s="622"/>
      <c r="AC69" s="622"/>
      <c r="AD69" s="622"/>
      <c r="AE69" s="622"/>
      <c r="AF69" s="1697">
        <v>11</v>
      </c>
    </row>
    <row s="3442" customFormat="1" customHeight="1" ht="11.549999999999999">
      <c r="A70" s="1043"/>
      <c r="B70" s="1692"/>
      <c r="C70" s="1692"/>
      <c r="D70" s="407"/>
      <c r="K70" s="1216"/>
      <c r="L70" s="1692"/>
      <c r="M70" s="1692"/>
      <c r="N70" s="1216"/>
      <c r="O70" s="1216"/>
      <c r="P70" s="1216"/>
      <c r="Q70" s="1216"/>
      <c r="R70" s="1692"/>
      <c r="S70" s="1216"/>
      <c r="T70" s="1216"/>
      <c r="U70" s="600"/>
      <c r="V70" s="1216"/>
      <c r="W70" s="1216"/>
      <c r="X70" s="1216"/>
      <c r="Y70" s="1216"/>
      <c r="Z70" s="1216"/>
      <c r="AA70" s="1688"/>
      <c r="AB70" s="622"/>
      <c r="AC70" s="622"/>
      <c r="AD70" s="622"/>
      <c r="AE70" s="622"/>
      <c r="AF70" s="1697">
        <v>11</v>
      </c>
    </row>
    <row s="3442" customFormat="1" customHeight="1" ht="11.549999999999999">
      <c r="A71" s="1043"/>
      <c r="B71" s="1692"/>
      <c r="C71" s="1692"/>
      <c r="D71" s="407"/>
      <c r="K71" s="1216"/>
      <c r="L71" s="1692"/>
      <c r="M71" s="1692"/>
      <c r="N71" s="1216"/>
      <c r="O71" s="1216"/>
      <c r="P71" s="1216"/>
      <c r="Q71" s="1216"/>
      <c r="R71" s="1692"/>
      <c r="S71" s="1216"/>
      <c r="T71" s="1216"/>
      <c r="U71" s="600"/>
      <c r="V71" s="1216"/>
      <c r="W71" s="1216"/>
      <c r="X71" s="1216"/>
      <c r="Y71" s="1216"/>
      <c r="Z71" s="1216"/>
      <c r="AA71" s="1688"/>
      <c r="AB71" s="622"/>
      <c r="AC71" s="622"/>
      <c r="AD71" s="622"/>
      <c r="AE71" s="622"/>
      <c r="AF71" s="1697">
        <v>11</v>
      </c>
    </row>
    <row s="3442" customFormat="1" customHeight="1" ht="11.549999999999999">
      <c r="A72" s="1043"/>
      <c r="B72" s="1692"/>
      <c r="C72" s="1692"/>
      <c r="D72" s="407"/>
      <c r="K72" s="1216"/>
      <c r="L72" s="1692"/>
      <c r="M72" s="1692"/>
      <c r="N72" s="1216"/>
      <c r="O72" s="1216"/>
      <c r="P72" s="1216"/>
      <c r="Q72" s="1216"/>
      <c r="R72" s="1692"/>
      <c r="S72" s="1216"/>
      <c r="T72" s="1216"/>
      <c r="U72" s="600"/>
      <c r="V72" s="1216"/>
      <c r="W72" s="1216"/>
      <c r="X72" s="1216"/>
      <c r="Y72" s="1216"/>
      <c r="Z72" s="1216"/>
      <c r="AA72" s="1688"/>
      <c r="AB72" s="622"/>
      <c r="AC72" s="622"/>
      <c r="AD72" s="622"/>
      <c r="AE72" s="622"/>
      <c r="AF72" s="1697">
        <v>11</v>
      </c>
    </row>
    <row s="3442" customFormat="1" customHeight="1" ht="11.549999999999999">
      <c r="A73" s="1043"/>
      <c r="B73" s="1692"/>
      <c r="C73" s="1692"/>
      <c r="D73" s="407"/>
      <c r="K73" s="1216"/>
      <c r="L73" s="1692"/>
      <c r="M73" s="1692"/>
      <c r="N73" s="1216"/>
      <c r="O73" s="1216"/>
      <c r="P73" s="1216"/>
      <c r="Q73" s="1216"/>
      <c r="R73" s="1692"/>
      <c r="S73" s="1216"/>
      <c r="T73" s="1216"/>
      <c r="U73" s="600"/>
      <c r="V73" s="1216"/>
      <c r="W73" s="1216"/>
      <c r="X73" s="1216"/>
      <c r="Y73" s="1216"/>
      <c r="Z73" s="1216"/>
      <c r="AA73" s="1688"/>
      <c r="AB73" s="622"/>
      <c r="AC73" s="622"/>
      <c r="AD73" s="622"/>
      <c r="AE73" s="622"/>
      <c r="AF73" s="1697">
        <v>11</v>
      </c>
    </row>
    <row s="3442" customFormat="1" customHeight="1" ht="11.549999999999999">
      <c r="A74" s="1043"/>
      <c r="B74" s="1692"/>
      <c r="C74" s="1692"/>
      <c r="D74" s="407"/>
      <c r="K74" s="1216"/>
      <c r="L74" s="1692"/>
      <c r="M74" s="1692"/>
      <c r="N74" s="1216"/>
      <c r="O74" s="1216"/>
      <c r="P74" s="1216"/>
      <c r="Q74" s="1216"/>
      <c r="R74" s="1692"/>
      <c r="S74" s="1216"/>
      <c r="T74" s="1216"/>
      <c r="U74" s="600"/>
      <c r="V74" s="1216"/>
      <c r="W74" s="1216"/>
      <c r="X74" s="1216"/>
      <c r="Y74" s="1216"/>
      <c r="Z74" s="1216"/>
      <c r="AA74" s="1688"/>
      <c r="AB74" s="622"/>
      <c r="AC74" s="622"/>
      <c r="AD74" s="622"/>
      <c r="AE74" s="622"/>
      <c r="AF74" s="1697">
        <v>11</v>
      </c>
    </row>
    <row s="3442" customFormat="1" customHeight="1" ht="11.549999999999999">
      <c r="A75" s="1043"/>
      <c r="B75" s="1692"/>
      <c r="C75" s="1692"/>
      <c r="D75" s="407"/>
      <c r="K75" s="1216"/>
      <c r="L75" s="1692"/>
      <c r="M75" s="1692"/>
      <c r="N75" s="1216"/>
      <c r="O75" s="1216"/>
      <c r="P75" s="1216"/>
      <c r="Q75" s="1216"/>
      <c r="R75" s="1692"/>
      <c r="S75" s="1216"/>
      <c r="T75" s="1216"/>
      <c r="U75" s="600"/>
      <c r="V75" s="1216"/>
      <c r="W75" s="1216"/>
      <c r="X75" s="1216"/>
      <c r="Y75" s="1216"/>
      <c r="Z75" s="1216"/>
      <c r="AA75" s="1688"/>
      <c r="AB75" s="622"/>
      <c r="AC75" s="622"/>
      <c r="AD75" s="622"/>
      <c r="AE75" s="622"/>
      <c r="AF75" s="1697">
        <v>11</v>
      </c>
    </row>
    <row s="3442" customFormat="1" customHeight="1" ht="11.549999999999999">
      <c r="A76" s="1043"/>
      <c r="B76" s="1692"/>
      <c r="C76" s="1692"/>
      <c r="D76" s="407"/>
      <c r="K76" s="1216"/>
      <c r="L76" s="1692"/>
      <c r="M76" s="1692"/>
      <c r="N76" s="1216"/>
      <c r="O76" s="1216"/>
      <c r="P76" s="1216"/>
      <c r="Q76" s="1216"/>
      <c r="R76" s="1692"/>
      <c r="S76" s="1216"/>
      <c r="T76" s="1216"/>
      <c r="U76" s="600"/>
      <c r="V76" s="1216"/>
      <c r="W76" s="1216"/>
      <c r="X76" s="1216"/>
      <c r="Y76" s="1216"/>
      <c r="Z76" s="1216"/>
      <c r="AA76" s="1688"/>
      <c r="AB76" s="622"/>
      <c r="AC76" s="622"/>
      <c r="AD76" s="622"/>
      <c r="AE76" s="622"/>
      <c r="AF76" s="1697">
        <v>11</v>
      </c>
    </row>
    <row s="3442" customFormat="1" customHeight="1" ht="11.549999999999999">
      <c r="A77" s="1043"/>
      <c r="B77" s="1692"/>
      <c r="C77" s="1692"/>
      <c r="D77" s="407"/>
      <c r="K77" s="1216"/>
      <c r="L77" s="1692"/>
      <c r="M77" s="1692"/>
      <c r="N77" s="1216"/>
      <c r="O77" s="1216"/>
      <c r="P77" s="1216"/>
      <c r="Q77" s="1216"/>
      <c r="R77" s="1692"/>
      <c r="S77" s="1216"/>
      <c r="T77" s="1216"/>
      <c r="U77" s="600"/>
      <c r="V77" s="1216"/>
      <c r="W77" s="1216"/>
      <c r="X77" s="1216"/>
      <c r="Y77" s="1216"/>
      <c r="Z77" s="1216"/>
      <c r="AA77" s="1688"/>
      <c r="AB77" s="622"/>
      <c r="AC77" s="622"/>
      <c r="AD77" s="622"/>
      <c r="AE77" s="622"/>
      <c r="AF77" s="1697">
        <v>11</v>
      </c>
    </row>
    <row s="3442" customFormat="1" customHeight="1" ht="11.549999999999999">
      <c r="A78" s="1043"/>
      <c r="B78" s="1692"/>
      <c r="C78" s="1692"/>
      <c r="D78" s="407"/>
      <c r="K78" s="1216"/>
      <c r="L78" s="1692"/>
      <c r="M78" s="1692"/>
      <c r="N78" s="1216"/>
      <c r="O78" s="1216"/>
      <c r="P78" s="1216"/>
      <c r="Q78" s="1216"/>
      <c r="R78" s="1692"/>
      <c r="S78" s="1216"/>
      <c r="T78" s="1216"/>
      <c r="U78" s="600"/>
      <c r="V78" s="1216"/>
      <c r="W78" s="1216"/>
      <c r="X78" s="1216"/>
      <c r="Y78" s="1216"/>
      <c r="Z78" s="1216"/>
      <c r="AA78" s="1688"/>
      <c r="AB78" s="622"/>
      <c r="AC78" s="622"/>
      <c r="AD78" s="622"/>
      <c r="AE78" s="622"/>
      <c r="AF78" s="1697">
        <v>11</v>
      </c>
    </row>
    <row s="3442" customFormat="1" customHeight="1" ht="11.549999999999999">
      <c r="A79" s="1043"/>
      <c r="B79" s="1692"/>
      <c r="C79" s="1692"/>
      <c r="D79" s="407"/>
      <c r="K79" s="1216"/>
      <c r="L79" s="1692"/>
      <c r="M79" s="1692"/>
      <c r="N79" s="1216"/>
      <c r="O79" s="1216"/>
      <c r="P79" s="1216"/>
      <c r="Q79" s="1216"/>
      <c r="R79" s="1692"/>
      <c r="S79" s="1216"/>
      <c r="T79" s="1216"/>
      <c r="U79" s="600"/>
      <c r="V79" s="1216"/>
      <c r="W79" s="1216"/>
      <c r="X79" s="1216"/>
      <c r="Y79" s="1216"/>
      <c r="Z79" s="1216"/>
      <c r="AA79" s="1688"/>
      <c r="AB79" s="622"/>
      <c r="AC79" s="622"/>
      <c r="AD79" s="622"/>
      <c r="AE79" s="622"/>
      <c r="AF79" s="1697">
        <v>11</v>
      </c>
    </row>
    <row s="3442" customFormat="1" customHeight="1" ht="11.549999999999999">
      <c r="A80" s="1043"/>
      <c r="B80" s="1692"/>
      <c r="C80" s="1692"/>
      <c r="D80" s="407"/>
      <c r="K80" s="1216"/>
      <c r="L80" s="1692"/>
      <c r="M80" s="1692"/>
      <c r="N80" s="1216"/>
      <c r="O80" s="1216"/>
      <c r="P80" s="1216"/>
      <c r="Q80" s="1216"/>
      <c r="R80" s="1692"/>
      <c r="S80" s="1216"/>
      <c r="T80" s="1216"/>
      <c r="U80" s="600"/>
      <c r="V80" s="1216"/>
      <c r="W80" s="1216"/>
      <c r="X80" s="1216"/>
      <c r="Y80" s="1216"/>
      <c r="Z80" s="1216"/>
      <c r="AA80" s="1688"/>
      <c r="AB80" s="622"/>
      <c r="AC80" s="622"/>
      <c r="AD80" s="622"/>
      <c r="AE80" s="622"/>
      <c r="AF80" s="1697">
        <v>11</v>
      </c>
    </row>
    <row s="3442" customFormat="1" customHeight="1" ht="11.549999999999999">
      <c r="A81" s="1043"/>
      <c r="B81" s="1692"/>
      <c r="C81" s="1692"/>
      <c r="D81" s="407"/>
      <c r="K81" s="1216"/>
      <c r="L81" s="1692"/>
      <c r="M81" s="1692"/>
      <c r="N81" s="1216"/>
      <c r="O81" s="1216"/>
      <c r="P81" s="1216"/>
      <c r="Q81" s="1216"/>
      <c r="R81" s="1692"/>
      <c r="S81" s="1216"/>
      <c r="T81" s="1216"/>
      <c r="U81" s="600"/>
      <c r="V81" s="1216"/>
      <c r="W81" s="1216"/>
      <c r="X81" s="1216"/>
      <c r="Y81" s="1216"/>
      <c r="Z81" s="1216"/>
      <c r="AA81" s="1688"/>
      <c r="AB81" s="622"/>
      <c r="AC81" s="622"/>
      <c r="AD81" s="622"/>
      <c r="AE81" s="622"/>
      <c r="AF81" s="1697">
        <v>11</v>
      </c>
    </row>
    <row s="3442" customFormat="1" customHeight="1" ht="11.549999999999999">
      <c r="A82" s="1043"/>
      <c r="B82" s="1692"/>
      <c r="C82" s="1692"/>
      <c r="D82" s="407"/>
      <c r="K82" s="1216"/>
      <c r="L82" s="1692"/>
      <c r="M82" s="1692"/>
      <c r="N82" s="1216"/>
      <c r="O82" s="1216"/>
      <c r="P82" s="1216"/>
      <c r="Q82" s="1216"/>
      <c r="R82" s="1692"/>
      <c r="S82" s="1216"/>
      <c r="T82" s="1216"/>
      <c r="U82" s="600"/>
      <c r="V82" s="1216"/>
      <c r="W82" s="1216"/>
      <c r="X82" s="1216"/>
      <c r="Y82" s="1216"/>
      <c r="Z82" s="1216"/>
      <c r="AA82" s="1688"/>
      <c r="AB82" s="622"/>
      <c r="AC82" s="622"/>
      <c r="AD82" s="622"/>
      <c r="AE82" s="622"/>
      <c r="AF82" s="1697">
        <v>11</v>
      </c>
    </row>
    <row s="3442" customFormat="1" customHeight="1" ht="11.549999999999999">
      <c r="A83" s="1043"/>
      <c r="B83" s="1692"/>
      <c r="C83" s="1692"/>
      <c r="D83" s="407"/>
      <c r="K83" s="1216"/>
      <c r="L83" s="1692"/>
      <c r="M83" s="1692"/>
      <c r="N83" s="1216"/>
      <c r="O83" s="1216"/>
      <c r="P83" s="1216"/>
      <c r="Q83" s="1216"/>
      <c r="R83" s="1692"/>
      <c r="S83" s="1216"/>
      <c r="T83" s="1216"/>
      <c r="U83" s="600"/>
      <c r="V83" s="1216"/>
      <c r="W83" s="1216"/>
      <c r="X83" s="1216"/>
      <c r="Y83" s="1216"/>
      <c r="Z83" s="1216"/>
      <c r="AA83" s="1688"/>
      <c r="AB83" s="622"/>
      <c r="AC83" s="622"/>
      <c r="AD83" s="622"/>
      <c r="AE83" s="622"/>
      <c r="AF83" s="1697">
        <v>11</v>
      </c>
    </row>
    <row s="3442" customFormat="1" customHeight="1" ht="11.549999999999999">
      <c r="A84" s="1043"/>
      <c r="B84" s="1692"/>
      <c r="C84" s="1692"/>
      <c r="D84" s="407"/>
      <c r="K84" s="1216"/>
      <c r="L84" s="1692"/>
      <c r="M84" s="1692"/>
      <c r="N84" s="1216"/>
      <c r="O84" s="1216"/>
      <c r="P84" s="1216"/>
      <c r="Q84" s="1216"/>
      <c r="R84" s="1692"/>
      <c r="S84" s="1216"/>
      <c r="T84" s="1216"/>
      <c r="U84" s="600"/>
      <c r="V84" s="1216"/>
      <c r="W84" s="1216"/>
      <c r="X84" s="1216"/>
      <c r="Y84" s="1216"/>
      <c r="Z84" s="1216"/>
      <c r="AA84" s="1688"/>
      <c r="AB84" s="622"/>
      <c r="AC84" s="622"/>
      <c r="AD84" s="622"/>
      <c r="AE84" s="622"/>
      <c r="AF84" s="1697">
        <v>11</v>
      </c>
    </row>
    <row s="3442" customFormat="1" customHeight="1" ht="11.549999999999999">
      <c r="A85" s="1043"/>
      <c r="B85" s="1692"/>
      <c r="C85" s="1692"/>
      <c r="D85" s="407"/>
      <c r="K85" s="1216"/>
      <c r="L85" s="1692"/>
      <c r="M85" s="1692"/>
      <c r="N85" s="1216"/>
      <c r="O85" s="1216"/>
      <c r="P85" s="1216"/>
      <c r="Q85" s="1216"/>
      <c r="R85" s="1692"/>
      <c r="S85" s="1216"/>
      <c r="T85" s="1216"/>
      <c r="U85" s="600"/>
      <c r="V85" s="1216"/>
      <c r="W85" s="1216"/>
      <c r="X85" s="1216"/>
      <c r="Y85" s="1216"/>
      <c r="Z85" s="1216"/>
      <c r="AA85" s="1688"/>
      <c r="AB85" s="622"/>
      <c r="AC85" s="622"/>
      <c r="AD85" s="622"/>
      <c r="AE85" s="622"/>
      <c r="AF85" s="1697">
        <v>11</v>
      </c>
    </row>
    <row s="3442" customFormat="1" customHeight="1" ht="11.549999999999999">
      <c r="A86" s="1043"/>
      <c r="B86" s="1692"/>
      <c r="C86" s="1692"/>
      <c r="D86" s="407"/>
      <c r="K86" s="1216"/>
      <c r="L86" s="1692"/>
      <c r="M86" s="1692"/>
      <c r="N86" s="1216"/>
      <c r="O86" s="1216"/>
      <c r="P86" s="1216"/>
      <c r="Q86" s="1216"/>
      <c r="R86" s="1692"/>
      <c r="S86" s="1216"/>
      <c r="T86" s="1216"/>
      <c r="U86" s="600"/>
      <c r="V86" s="1216"/>
      <c r="W86" s="1216"/>
      <c r="X86" s="1216"/>
      <c r="Y86" s="1216"/>
      <c r="Z86" s="1216"/>
      <c r="AA86" s="1688"/>
      <c r="AB86" s="622"/>
      <c r="AC86" s="622"/>
      <c r="AD86" s="622"/>
      <c r="AE86" s="622"/>
      <c r="AF86" s="1697">
        <v>11</v>
      </c>
    </row>
    <row s="3442" customFormat="1" customHeight="1" ht="11.549999999999999">
      <c r="A87" s="1043"/>
      <c r="B87" s="1692"/>
      <c r="C87" s="1692"/>
      <c r="D87" s="407"/>
      <c r="K87" s="1216"/>
      <c r="L87" s="1692"/>
      <c r="M87" s="1692"/>
      <c r="N87" s="1216"/>
      <c r="O87" s="1216"/>
      <c r="P87" s="1216"/>
      <c r="Q87" s="1216"/>
      <c r="R87" s="1692"/>
      <c r="S87" s="1216"/>
      <c r="T87" s="1216"/>
      <c r="U87" s="600"/>
      <c r="V87" s="1216"/>
      <c r="W87" s="1216"/>
      <c r="X87" s="1216"/>
      <c r="Y87" s="1216"/>
      <c r="Z87" s="1216"/>
      <c r="AA87" s="1688"/>
      <c r="AB87" s="622"/>
      <c r="AC87" s="622"/>
      <c r="AD87" s="622"/>
      <c r="AE87" s="622"/>
      <c r="AF87" s="1697">
        <v>11</v>
      </c>
    </row>
    <row s="3442" customFormat="1" customHeight="1" ht="11.549999999999999">
      <c r="A88" s="1043"/>
      <c r="B88" s="1692"/>
      <c r="C88" s="1692"/>
      <c r="D88" s="407"/>
      <c r="K88" s="1216"/>
      <c r="L88" s="1692"/>
      <c r="M88" s="1692"/>
      <c r="N88" s="1216"/>
      <c r="O88" s="1216"/>
      <c r="P88" s="1216"/>
      <c r="Q88" s="1216"/>
      <c r="R88" s="1692"/>
      <c r="S88" s="1216"/>
      <c r="T88" s="1216"/>
      <c r="U88" s="600"/>
      <c r="V88" s="1216"/>
      <c r="W88" s="1216"/>
      <c r="X88" s="1216"/>
      <c r="Y88" s="1216"/>
      <c r="Z88" s="1216"/>
      <c r="AA88" s="1688"/>
      <c r="AB88" s="622"/>
      <c r="AC88" s="622"/>
      <c r="AD88" s="622"/>
      <c r="AE88" s="622"/>
      <c r="AF88" s="1697">
        <v>11</v>
      </c>
    </row>
    <row s="3442" customFormat="1" customHeight="1" ht="11.549999999999999">
      <c r="A89" s="1043"/>
      <c r="B89" s="1692"/>
      <c r="C89" s="1692"/>
      <c r="D89" s="407"/>
      <c r="K89" s="1216"/>
      <c r="L89" s="1692"/>
      <c r="M89" s="1692"/>
      <c r="N89" s="1216"/>
      <c r="O89" s="1216"/>
      <c r="P89" s="1216"/>
      <c r="Q89" s="1216"/>
      <c r="R89" s="1692"/>
      <c r="S89" s="1216"/>
      <c r="T89" s="1216"/>
      <c r="U89" s="600"/>
      <c r="V89" s="1216"/>
      <c r="W89" s="1216"/>
      <c r="X89" s="1216"/>
      <c r="Y89" s="1216"/>
      <c r="Z89" s="1216"/>
      <c r="AA89" s="1688"/>
      <c r="AB89" s="622"/>
      <c r="AC89" s="622"/>
      <c r="AD89" s="622"/>
      <c r="AE89" s="622"/>
      <c r="AF89" s="1697">
        <v>11</v>
      </c>
    </row>
    <row s="3442" customFormat="1" customHeight="1" ht="11.549999999999999">
      <c r="A90" s="1043"/>
      <c r="B90" s="1692"/>
      <c r="C90" s="1692"/>
      <c r="D90" s="407"/>
      <c r="K90" s="1216"/>
      <c r="L90" s="1692"/>
      <c r="M90" s="1692"/>
      <c r="N90" s="1216"/>
      <c r="O90" s="1216"/>
      <c r="P90" s="1216"/>
      <c r="Q90" s="1216"/>
      <c r="R90" s="1692"/>
      <c r="S90" s="1216"/>
      <c r="T90" s="1216"/>
      <c r="U90" s="600"/>
      <c r="V90" s="1216"/>
      <c r="W90" s="1216"/>
      <c r="X90" s="1216"/>
      <c r="Y90" s="1216"/>
      <c r="Z90" s="1216"/>
      <c r="AA90" s="1688"/>
      <c r="AB90" s="622"/>
      <c r="AC90" s="622"/>
      <c r="AD90" s="622"/>
      <c r="AE90" s="622"/>
      <c r="AF90" s="1697">
        <v>11</v>
      </c>
    </row>
    <row s="3442" customFormat="1" customHeight="1" ht="11.549999999999999">
      <c r="A91" s="1043"/>
      <c r="B91" s="1692"/>
      <c r="C91" s="1692"/>
      <c r="D91" s="407"/>
      <c r="K91" s="1216"/>
      <c r="L91" s="1692"/>
      <c r="M91" s="1692"/>
      <c r="N91" s="1216"/>
      <c r="O91" s="1216"/>
      <c r="P91" s="1216"/>
      <c r="Q91" s="1216"/>
      <c r="R91" s="1692"/>
      <c r="S91" s="1216"/>
      <c r="T91" s="1216"/>
      <c r="U91" s="600"/>
      <c r="V91" s="1216"/>
      <c r="W91" s="1216"/>
      <c r="X91" s="1216"/>
      <c r="Y91" s="1216"/>
      <c r="Z91" s="1216"/>
      <c r="AA91" s="1688"/>
      <c r="AB91" s="622"/>
      <c r="AC91" s="622"/>
      <c r="AD91" s="622"/>
      <c r="AE91" s="622"/>
      <c r="AF91" s="1697">
        <v>11</v>
      </c>
    </row>
    <row s="3442" customFormat="1" customHeight="1" ht="11.549999999999999">
      <c r="A92" s="1043"/>
      <c r="B92" s="1692"/>
      <c r="C92" s="1692"/>
      <c r="D92" s="407"/>
      <c r="K92" s="1216"/>
      <c r="L92" s="1692"/>
      <c r="M92" s="1692"/>
      <c r="N92" s="1216"/>
      <c r="O92" s="1216"/>
      <c r="P92" s="1216"/>
      <c r="Q92" s="1216"/>
      <c r="R92" s="1692"/>
      <c r="S92" s="1216"/>
      <c r="T92" s="1216"/>
      <c r="U92" s="600"/>
      <c r="V92" s="1216"/>
      <c r="W92" s="1216"/>
      <c r="X92" s="1216"/>
      <c r="Y92" s="1216"/>
      <c r="Z92" s="1216"/>
      <c r="AA92" s="1688"/>
      <c r="AB92" s="622"/>
      <c r="AC92" s="622"/>
      <c r="AD92" s="622"/>
      <c r="AE92" s="622"/>
      <c r="AF92" s="1697">
        <v>11</v>
      </c>
    </row>
    <row s="3442" customFormat="1" customHeight="1" ht="11.549999999999999">
      <c r="A93" s="1043"/>
      <c r="B93" s="1692"/>
      <c r="C93" s="1692"/>
      <c r="D93" s="407"/>
      <c r="K93" s="1216"/>
      <c r="L93" s="1692"/>
      <c r="M93" s="1692"/>
      <c r="N93" s="1216"/>
      <c r="O93" s="1216"/>
      <c r="P93" s="1216"/>
      <c r="Q93" s="1216"/>
      <c r="R93" s="1692"/>
      <c r="S93" s="1216"/>
      <c r="T93" s="1216"/>
      <c r="U93" s="600"/>
      <c r="V93" s="1216"/>
      <c r="W93" s="1216"/>
      <c r="X93" s="1216"/>
      <c r="Y93" s="1216"/>
      <c r="Z93" s="1216"/>
      <c r="AA93" s="1688"/>
      <c r="AB93" s="622"/>
      <c r="AC93" s="622"/>
      <c r="AD93" s="622"/>
      <c r="AE93" s="622"/>
      <c r="AF93" s="1697">
        <v>11</v>
      </c>
    </row>
    <row s="3442" customFormat="1" customHeight="1" ht="11.549999999999999">
      <c r="A94" s="1043"/>
      <c r="B94" s="1692"/>
      <c r="C94" s="1692"/>
      <c r="D94" s="407"/>
      <c r="K94" s="1216"/>
      <c r="L94" s="1692"/>
      <c r="M94" s="1692"/>
      <c r="N94" s="1216"/>
      <c r="O94" s="1216"/>
      <c r="P94" s="1216"/>
      <c r="Q94" s="1216"/>
      <c r="R94" s="1692"/>
      <c r="S94" s="1216"/>
      <c r="T94" s="1216"/>
      <c r="U94" s="600"/>
      <c r="V94" s="1216"/>
      <c r="W94" s="1216"/>
      <c r="X94" s="1216"/>
      <c r="Y94" s="1216"/>
      <c r="Z94" s="1216"/>
      <c r="AA94" s="1688"/>
      <c r="AB94" s="622"/>
      <c r="AC94" s="622"/>
      <c r="AD94" s="622"/>
      <c r="AE94" s="622"/>
      <c r="AF94" s="1697">
        <v>11</v>
      </c>
    </row>
    <row s="3442" customFormat="1" customHeight="1" ht="11.549999999999999">
      <c r="A95" s="1043"/>
      <c r="B95" s="1692"/>
      <c r="C95" s="1692"/>
      <c r="D95" s="407"/>
      <c r="K95" s="1216"/>
      <c r="L95" s="1692"/>
      <c r="M95" s="1692"/>
      <c r="N95" s="1216"/>
      <c r="O95" s="1216"/>
      <c r="P95" s="1216"/>
      <c r="Q95" s="1216"/>
      <c r="R95" s="1692"/>
      <c r="S95" s="1216"/>
      <c r="T95" s="1216"/>
      <c r="U95" s="600"/>
      <c r="V95" s="1216"/>
      <c r="W95" s="1216"/>
      <c r="X95" s="1216"/>
      <c r="Y95" s="1216"/>
      <c r="Z95" s="1216"/>
      <c r="AA95" s="1688"/>
      <c r="AB95" s="622"/>
      <c r="AC95" s="622"/>
      <c r="AD95" s="622"/>
      <c r="AE95" s="622"/>
      <c r="AF95" s="1697">
        <v>11</v>
      </c>
    </row>
    <row s="3442" customFormat="1" customHeight="1" ht="11.549999999999999">
      <c r="A96" s="1043"/>
      <c r="B96" s="1692"/>
      <c r="C96" s="1692"/>
      <c r="D96" s="407"/>
      <c r="K96" s="1216"/>
      <c r="L96" s="1692"/>
      <c r="M96" s="1692"/>
      <c r="N96" s="1216"/>
      <c r="O96" s="1216"/>
      <c r="P96" s="1216"/>
      <c r="Q96" s="1216"/>
      <c r="R96" s="1692"/>
      <c r="S96" s="1216"/>
      <c r="T96" s="1216"/>
      <c r="U96" s="600"/>
      <c r="V96" s="1216"/>
      <c r="W96" s="1216"/>
      <c r="X96" s="1216"/>
      <c r="Y96" s="1216"/>
      <c r="Z96" s="1216"/>
      <c r="AA96" s="1688"/>
      <c r="AB96" s="622"/>
      <c r="AC96" s="622"/>
      <c r="AD96" s="622"/>
      <c r="AE96" s="622"/>
      <c r="AF96" s="1697">
        <v>11</v>
      </c>
    </row>
    <row s="3442" customFormat="1" customHeight="1" ht="11.549999999999999">
      <c r="A97" s="1043"/>
      <c r="B97" s="1692"/>
      <c r="C97" s="1692"/>
      <c r="D97" s="407"/>
      <c r="K97" s="1216"/>
      <c r="L97" s="1692"/>
      <c r="M97" s="1692"/>
      <c r="N97" s="1216"/>
      <c r="O97" s="1216"/>
      <c r="P97" s="1216"/>
      <c r="Q97" s="1216"/>
      <c r="R97" s="1692"/>
      <c r="S97" s="1216"/>
      <c r="T97" s="1216"/>
      <c r="U97" s="600"/>
      <c r="V97" s="1216"/>
      <c r="W97" s="1216"/>
      <c r="X97" s="1216"/>
      <c r="Y97" s="1216"/>
      <c r="Z97" s="1216"/>
      <c r="AA97" s="1688"/>
      <c r="AB97" s="622"/>
      <c r="AC97" s="622"/>
      <c r="AD97" s="622"/>
      <c r="AE97" s="622"/>
      <c r="AF97" s="1697">
        <v>11</v>
      </c>
    </row>
    <row s="3442" customFormat="1" customHeight="1" ht="11.549999999999999">
      <c r="A98" s="1043"/>
      <c r="B98" s="1692"/>
      <c r="C98" s="1692"/>
      <c r="D98" s="407"/>
      <c r="K98" s="1216"/>
      <c r="L98" s="1692"/>
      <c r="M98" s="1692"/>
      <c r="N98" s="1216"/>
      <c r="O98" s="1216"/>
      <c r="P98" s="1216"/>
      <c r="Q98" s="1216"/>
      <c r="R98" s="1692"/>
      <c r="S98" s="1216"/>
      <c r="T98" s="1216"/>
      <c r="U98" s="600"/>
      <c r="V98" s="1216"/>
      <c r="W98" s="1216"/>
      <c r="X98" s="1216"/>
      <c r="Y98" s="1216"/>
      <c r="Z98" s="1216"/>
      <c r="AA98" s="1688"/>
      <c r="AB98" s="622"/>
      <c r="AC98" s="622"/>
      <c r="AD98" s="622"/>
      <c r="AE98" s="622"/>
      <c r="AF98" s="1697">
        <v>11</v>
      </c>
    </row>
    <row s="3442" customFormat="1" customHeight="1" ht="11.549999999999999">
      <c r="A99" s="1043"/>
      <c r="B99" s="1692"/>
      <c r="C99" s="1692"/>
      <c r="D99" s="407"/>
      <c r="K99" s="1216"/>
      <c r="L99" s="1692"/>
      <c r="M99" s="1692"/>
      <c r="N99" s="1216"/>
      <c r="O99" s="1216"/>
      <c r="P99" s="1216"/>
      <c r="Q99" s="1216"/>
      <c r="R99" s="1692"/>
      <c r="S99" s="1216"/>
      <c r="T99" s="1216"/>
      <c r="U99" s="600"/>
      <c r="V99" s="1216"/>
      <c r="W99" s="1216"/>
      <c r="X99" s="1216"/>
      <c r="Y99" s="1216"/>
      <c r="Z99" s="1216"/>
      <c r="AA99" s="1688"/>
      <c r="AB99" s="622"/>
      <c r="AC99" s="622"/>
      <c r="AD99" s="622"/>
      <c r="AE99" s="622"/>
      <c r="AF99" s="1697">
        <v>11</v>
      </c>
    </row>
    <row s="3442" customFormat="1" customHeight="1" ht="11.549999999999999">
      <c r="A100" s="1043"/>
      <c r="B100" s="1692"/>
      <c r="C100" s="1692"/>
      <c r="D100" s="407"/>
      <c r="K100" s="1216"/>
      <c r="L100" s="1692"/>
      <c r="M100" s="1692"/>
      <c r="N100" s="1216"/>
      <c r="O100" s="1216"/>
      <c r="P100" s="1216"/>
      <c r="Q100" s="1216"/>
      <c r="R100" s="1692"/>
      <c r="S100" s="1216"/>
      <c r="T100" s="1216"/>
      <c r="U100" s="600"/>
      <c r="V100" s="1216"/>
      <c r="W100" s="1216"/>
      <c r="X100" s="1216"/>
      <c r="Y100" s="1216"/>
      <c r="Z100" s="1216"/>
      <c r="AA100" s="1688"/>
      <c r="AB100" s="622"/>
      <c r="AC100" s="622"/>
      <c r="AD100" s="622"/>
      <c r="AE100" s="622"/>
      <c r="AF100" s="1697">
        <v>11</v>
      </c>
    </row>
    <row s="3442" customFormat="1" customHeight="1" ht="11.549999999999999">
      <c r="A101" s="1043"/>
      <c r="B101" s="1692"/>
      <c r="C101" s="1692"/>
      <c r="D101" s="407"/>
      <c r="K101" s="1216"/>
      <c r="L101" s="1692"/>
      <c r="M101" s="1692"/>
      <c r="N101" s="1216"/>
      <c r="O101" s="1216"/>
      <c r="P101" s="1216"/>
      <c r="Q101" s="1216"/>
      <c r="R101" s="1692"/>
      <c r="S101" s="1216"/>
      <c r="T101" s="1216"/>
      <c r="U101" s="600"/>
      <c r="V101" s="1216"/>
      <c r="W101" s="1216"/>
      <c r="X101" s="1216"/>
      <c r="Y101" s="1216"/>
      <c r="Z101" s="1216"/>
      <c r="AA101" s="1688"/>
      <c r="AB101" s="622"/>
      <c r="AC101" s="622"/>
      <c r="AD101" s="622"/>
      <c r="AE101" s="622"/>
      <c r="AF101" s="1697">
        <v>11</v>
      </c>
    </row>
    <row s="3442" customFormat="1" customHeight="1" ht="11.549999999999999">
      <c r="A102" s="1043"/>
      <c r="B102" s="1692"/>
      <c r="C102" s="1692"/>
      <c r="D102" s="407"/>
      <c r="K102" s="1216"/>
      <c r="L102" s="1692"/>
      <c r="M102" s="1692"/>
      <c r="N102" s="1216"/>
      <c r="O102" s="1216"/>
      <c r="P102" s="1216"/>
      <c r="Q102" s="1216"/>
      <c r="R102" s="1692"/>
      <c r="S102" s="1216"/>
      <c r="T102" s="1216"/>
      <c r="U102" s="600"/>
      <c r="V102" s="1216"/>
      <c r="W102" s="1216"/>
      <c r="X102" s="1216"/>
      <c r="Y102" s="1216"/>
      <c r="Z102" s="1216"/>
      <c r="AA102" s="1688"/>
      <c r="AB102" s="622"/>
      <c r="AC102" s="622"/>
      <c r="AD102" s="622"/>
      <c r="AE102" s="622"/>
      <c r="AF102" s="1697">
        <v>11</v>
      </c>
    </row>
    <row s="3442" customFormat="1" customHeight="1" ht="11.549999999999999">
      <c r="A103" s="1043"/>
      <c r="B103" s="1692"/>
      <c r="C103" s="1692"/>
      <c r="D103" s="407"/>
      <c r="K103" s="1216"/>
      <c r="L103" s="1692"/>
      <c r="M103" s="1692"/>
      <c r="N103" s="1216"/>
      <c r="O103" s="1216"/>
      <c r="P103" s="1216"/>
      <c r="Q103" s="1216"/>
      <c r="R103" s="1692"/>
      <c r="S103" s="1216"/>
      <c r="T103" s="1216"/>
      <c r="U103" s="600"/>
      <c r="V103" s="1216"/>
      <c r="W103" s="1216"/>
      <c r="X103" s="1216"/>
      <c r="Y103" s="1216"/>
      <c r="Z103" s="1216"/>
      <c r="AA103" s="1688"/>
      <c r="AB103" s="622"/>
      <c r="AC103" s="622"/>
      <c r="AD103" s="622"/>
      <c r="AE103" s="622"/>
      <c r="AF103" s="1697">
        <v>11</v>
      </c>
    </row>
    <row s="3442" customFormat="1" customHeight="1" ht="11.549999999999999">
      <c r="A104" s="1043"/>
      <c r="B104" s="1692"/>
      <c r="C104" s="1692"/>
      <c r="D104" s="407"/>
      <c r="K104" s="1216"/>
      <c r="L104" s="1692"/>
      <c r="M104" s="1692"/>
      <c r="N104" s="1216"/>
      <c r="O104" s="1216"/>
      <c r="P104" s="1216"/>
      <c r="Q104" s="1216"/>
      <c r="R104" s="1692"/>
      <c r="S104" s="1216"/>
      <c r="T104" s="1216"/>
      <c r="U104" s="600"/>
      <c r="V104" s="1216"/>
      <c r="W104" s="1216"/>
      <c r="X104" s="1216"/>
      <c r="Y104" s="1216"/>
      <c r="Z104" s="1216"/>
      <c r="AA104" s="1688"/>
      <c r="AB104" s="622"/>
      <c r="AC104" s="622"/>
      <c r="AD104" s="622"/>
      <c r="AE104" s="622"/>
      <c r="AF104" s="1697">
        <v>11</v>
      </c>
    </row>
    <row s="3442" customFormat="1" customHeight="1" ht="11.549999999999999">
      <c r="A105" s="1043"/>
      <c r="B105" s="1692"/>
      <c r="C105" s="1692"/>
      <c r="D105" s="407"/>
      <c r="K105" s="1216"/>
      <c r="L105" s="1692"/>
      <c r="M105" s="1692"/>
      <c r="N105" s="1216"/>
      <c r="O105" s="1216"/>
      <c r="P105" s="1216"/>
      <c r="Q105" s="1216"/>
      <c r="R105" s="1692"/>
      <c r="S105" s="1216"/>
      <c r="T105" s="1216"/>
      <c r="U105" s="600"/>
      <c r="V105" s="1216"/>
      <c r="W105" s="1216"/>
      <c r="X105" s="1216"/>
      <c r="Y105" s="1216"/>
      <c r="Z105" s="1216"/>
      <c r="AA105" s="1688"/>
      <c r="AB105" s="622"/>
      <c r="AC105" s="622"/>
      <c r="AD105" s="622"/>
      <c r="AE105" s="622"/>
      <c r="AF105" s="1697">
        <v>11</v>
      </c>
    </row>
    <row s="3442" customFormat="1" customHeight="1" ht="11.549999999999999">
      <c r="A106" s="1043"/>
      <c r="B106" s="1692"/>
      <c r="C106" s="1692"/>
      <c r="D106" s="407"/>
      <c r="K106" s="1216"/>
      <c r="L106" s="1692"/>
      <c r="M106" s="1692"/>
      <c r="N106" s="1216"/>
      <c r="O106" s="1216"/>
      <c r="P106" s="1216"/>
      <c r="Q106" s="1216"/>
      <c r="R106" s="1692"/>
      <c r="S106" s="1216"/>
      <c r="T106" s="1216"/>
      <c r="U106" s="600"/>
      <c r="V106" s="1216"/>
      <c r="W106" s="1216"/>
      <c r="X106" s="1216"/>
      <c r="Y106" s="1216"/>
      <c r="Z106" s="1216"/>
      <c r="AA106" s="1688"/>
      <c r="AB106" s="622"/>
      <c r="AC106" s="622"/>
      <c r="AD106" s="622"/>
      <c r="AE106" s="622"/>
      <c r="AF106" s="1697">
        <v>11</v>
      </c>
    </row>
    <row s="3442" customFormat="1" customHeight="1" ht="11.549999999999999">
      <c r="A107" s="1043"/>
      <c r="B107" s="1692"/>
      <c r="C107" s="1692"/>
      <c r="D107" s="407"/>
      <c r="K107" s="1216"/>
      <c r="L107" s="1692"/>
      <c r="M107" s="1692"/>
      <c r="N107" s="1216"/>
      <c r="O107" s="1216"/>
      <c r="P107" s="1216"/>
      <c r="Q107" s="1216"/>
      <c r="R107" s="1692"/>
      <c r="S107" s="1216"/>
      <c r="T107" s="1216"/>
      <c r="U107" s="600"/>
      <c r="V107" s="1216"/>
      <c r="W107" s="1216"/>
      <c r="X107" s="1216"/>
      <c r="Y107" s="1216"/>
      <c r="Z107" s="1216"/>
      <c r="AA107" s="1688"/>
      <c r="AB107" s="622"/>
      <c r="AC107" s="622"/>
      <c r="AD107" s="622"/>
      <c r="AE107" s="622"/>
      <c r="AF107" s="1697">
        <v>11</v>
      </c>
    </row>
    <row s="3442" customFormat="1" customHeight="1" ht="11.549999999999999">
      <c r="A108" s="1043"/>
      <c r="B108" s="1692"/>
      <c r="C108" s="1692"/>
      <c r="D108" s="407"/>
      <c r="K108" s="1216"/>
      <c r="L108" s="1692"/>
      <c r="M108" s="1692"/>
      <c r="N108" s="1216"/>
      <c r="O108" s="1216"/>
      <c r="P108" s="1216"/>
      <c r="Q108" s="1216"/>
      <c r="R108" s="1692"/>
      <c r="S108" s="1216"/>
      <c r="T108" s="1216"/>
      <c r="U108" s="600"/>
      <c r="V108" s="1216"/>
      <c r="W108" s="1216"/>
      <c r="X108" s="1216"/>
      <c r="Y108" s="1216"/>
      <c r="Z108" s="1216"/>
      <c r="AA108" s="1688"/>
      <c r="AB108" s="622"/>
      <c r="AC108" s="622"/>
      <c r="AD108" s="622"/>
      <c r="AE108" s="622"/>
      <c r="AF108" s="1697">
        <v>11</v>
      </c>
    </row>
    <row s="3442" customFormat="1" customHeight="1" ht="11.549999999999999">
      <c r="A109" s="1043"/>
      <c r="B109" s="1692"/>
      <c r="C109" s="1692"/>
      <c r="D109" s="407"/>
      <c r="K109" s="1216"/>
      <c r="L109" s="1692"/>
      <c r="M109" s="1692"/>
      <c r="N109" s="1216"/>
      <c r="O109" s="1216"/>
      <c r="P109" s="1216"/>
      <c r="Q109" s="1216"/>
      <c r="R109" s="1692"/>
      <c r="S109" s="1216"/>
      <c r="T109" s="1216"/>
      <c r="U109" s="600"/>
      <c r="V109" s="1216"/>
      <c r="W109" s="1216"/>
      <c r="X109" s="1216"/>
      <c r="Y109" s="1216"/>
      <c r="Z109" s="1216"/>
      <c r="AA109" s="1688"/>
      <c r="AB109" s="622"/>
      <c r="AC109" s="622"/>
      <c r="AD109" s="622"/>
      <c r="AE109" s="622"/>
      <c r="AF109" s="1697">
        <v>11</v>
      </c>
    </row>
    <row s="3442" customFormat="1" customHeight="1" ht="11.549999999999999">
      <c r="A110" s="1043"/>
      <c r="B110" s="1692"/>
      <c r="C110" s="1692"/>
      <c r="D110" s="407"/>
      <c r="K110" s="1216"/>
      <c r="L110" s="1692"/>
      <c r="M110" s="1692"/>
      <c r="N110" s="1216"/>
      <c r="O110" s="1216"/>
      <c r="P110" s="1216"/>
      <c r="Q110" s="1216"/>
      <c r="R110" s="1692"/>
      <c r="S110" s="1216"/>
      <c r="T110" s="1216"/>
      <c r="U110" s="600"/>
      <c r="V110" s="1216"/>
      <c r="W110" s="1216"/>
      <c r="X110" s="1216"/>
      <c r="Y110" s="1216"/>
      <c r="Z110" s="1216"/>
      <c r="AA110" s="1688"/>
      <c r="AB110" s="622"/>
      <c r="AC110" s="622"/>
      <c r="AD110" s="622"/>
      <c r="AE110" s="622"/>
      <c r="AF110" s="1697">
        <v>11</v>
      </c>
    </row>
    <row s="3442" customFormat="1" customHeight="1" ht="11.549999999999999">
      <c r="A111" s="1043"/>
      <c r="B111" s="1692"/>
      <c r="C111" s="1692"/>
      <c r="D111" s="407"/>
      <c r="K111" s="1216"/>
      <c r="L111" s="1692"/>
      <c r="M111" s="1692"/>
      <c r="N111" s="1216"/>
      <c r="O111" s="1216"/>
      <c r="P111" s="1216"/>
      <c r="Q111" s="1216"/>
      <c r="R111" s="1692"/>
      <c r="S111" s="1216"/>
      <c r="T111" s="1216"/>
      <c r="U111" s="600"/>
      <c r="V111" s="1216"/>
      <c r="W111" s="1216"/>
      <c r="X111" s="1216"/>
      <c r="Y111" s="1216"/>
      <c r="Z111" s="1216"/>
      <c r="AA111" s="1688"/>
      <c r="AB111" s="622"/>
      <c r="AC111" s="622"/>
      <c r="AD111" s="622"/>
      <c r="AE111" s="622"/>
      <c r="AF111" s="1697">
        <v>11</v>
      </c>
    </row>
    <row s="3442" customFormat="1" customHeight="1" ht="11.549999999999999">
      <c r="A112" s="1043"/>
      <c r="B112" s="1692"/>
      <c r="C112" s="1692"/>
      <c r="D112" s="407"/>
      <c r="K112" s="1216"/>
      <c r="L112" s="1692"/>
      <c r="M112" s="1692"/>
      <c r="N112" s="1216"/>
      <c r="O112" s="1216"/>
      <c r="P112" s="1216"/>
      <c r="Q112" s="1216"/>
      <c r="R112" s="1692"/>
      <c r="S112" s="1216"/>
      <c r="T112" s="1216"/>
      <c r="U112" s="600"/>
      <c r="V112" s="1216"/>
      <c r="W112" s="1216"/>
      <c r="X112" s="1216"/>
      <c r="Y112" s="1216"/>
      <c r="Z112" s="1216"/>
      <c r="AA112" s="1688"/>
      <c r="AB112" s="622"/>
      <c r="AC112" s="622"/>
      <c r="AD112" s="622"/>
      <c r="AE112" s="622"/>
      <c r="AF112" s="1697">
        <v>11</v>
      </c>
    </row>
    <row s="3442" customFormat="1" customHeight="1" ht="11.549999999999999">
      <c r="A113" s="1043"/>
      <c r="B113" s="1692"/>
      <c r="C113" s="1692"/>
      <c r="D113" s="407"/>
      <c r="K113" s="1216"/>
      <c r="L113" s="1692"/>
      <c r="M113" s="1692"/>
      <c r="N113" s="1216"/>
      <c r="O113" s="1216"/>
      <c r="P113" s="1216"/>
      <c r="Q113" s="1216"/>
      <c r="R113" s="1692"/>
      <c r="S113" s="1216"/>
      <c r="T113" s="1216"/>
      <c r="U113" s="600"/>
      <c r="V113" s="1216"/>
      <c r="W113" s="1216"/>
      <c r="X113" s="1216"/>
      <c r="Y113" s="1216"/>
      <c r="Z113" s="1216"/>
      <c r="AA113" s="1688"/>
      <c r="AB113" s="622"/>
      <c r="AC113" s="622"/>
      <c r="AD113" s="622"/>
      <c r="AE113" s="622"/>
      <c r="AF113" s="1697">
        <v>11</v>
      </c>
    </row>
    <row s="3442" customFormat="1" customHeight="1" ht="11.549999999999999">
      <c r="A114" s="1043"/>
      <c r="B114" s="1692"/>
      <c r="C114" s="1692"/>
      <c r="D114" s="407"/>
      <c r="K114" s="1216"/>
      <c r="L114" s="1692"/>
      <c r="M114" s="1692"/>
      <c r="N114" s="1216"/>
      <c r="O114" s="1216"/>
      <c r="P114" s="1216"/>
      <c r="Q114" s="1216"/>
      <c r="R114" s="1692"/>
      <c r="S114" s="1216"/>
      <c r="T114" s="1216"/>
      <c r="U114" s="600"/>
      <c r="V114" s="1216"/>
      <c r="W114" s="1216"/>
      <c r="X114" s="1216"/>
      <c r="Y114" s="1216"/>
      <c r="Z114" s="1216"/>
      <c r="AA114" s="1688"/>
      <c r="AB114" s="622"/>
      <c r="AC114" s="622"/>
      <c r="AD114" s="622"/>
      <c r="AE114" s="622"/>
      <c r="AF114" s="1697">
        <v>11</v>
      </c>
    </row>
    <row s="3442" customFormat="1" customHeight="1" ht="11.549999999999999">
      <c r="A115" s="1043"/>
      <c r="B115" s="1692"/>
      <c r="C115" s="1692"/>
      <c r="D115" s="407"/>
      <c r="K115" s="1216"/>
      <c r="L115" s="1692"/>
      <c r="M115" s="1692"/>
      <c r="N115" s="1216"/>
      <c r="O115" s="1216"/>
      <c r="P115" s="1216"/>
      <c r="Q115" s="1216"/>
      <c r="R115" s="1692"/>
      <c r="S115" s="1216"/>
      <c r="T115" s="1216"/>
      <c r="U115" s="600"/>
      <c r="V115" s="1216"/>
      <c r="W115" s="1216"/>
      <c r="X115" s="1216"/>
      <c r="Y115" s="1216"/>
      <c r="Z115" s="1216"/>
      <c r="AA115" s="1688"/>
      <c r="AB115" s="622"/>
      <c r="AC115" s="622"/>
      <c r="AD115" s="622"/>
      <c r="AE115" s="622"/>
      <c r="AF115" s="1697">
        <v>11</v>
      </c>
    </row>
    <row s="3442" customFormat="1" customHeight="1" ht="11.549999999999999">
      <c r="A116" s="1043"/>
      <c r="B116" s="1692"/>
      <c r="C116" s="1692"/>
      <c r="D116" s="407"/>
      <c r="K116" s="1216"/>
      <c r="L116" s="1692"/>
      <c r="M116" s="1692"/>
      <c r="N116" s="1216"/>
      <c r="O116" s="1216"/>
      <c r="P116" s="1216"/>
      <c r="Q116" s="1216"/>
      <c r="R116" s="1692"/>
      <c r="S116" s="1216"/>
      <c r="T116" s="1216"/>
      <c r="U116" s="600"/>
      <c r="V116" s="1216"/>
      <c r="W116" s="1216"/>
      <c r="X116" s="1216"/>
      <c r="Y116" s="1216"/>
      <c r="Z116" s="1216"/>
      <c r="AA116" s="1688"/>
      <c r="AB116" s="622"/>
      <c r="AC116" s="622"/>
      <c r="AD116" s="622"/>
      <c r="AE116" s="622"/>
      <c r="AF116" s="1697">
        <v>11</v>
      </c>
    </row>
    <row s="3442" customFormat="1" customHeight="1" ht="11.549999999999999">
      <c r="A117" s="1043"/>
      <c r="B117" s="1692"/>
      <c r="C117" s="1692"/>
      <c r="D117" s="407"/>
      <c r="K117" s="1216"/>
      <c r="L117" s="1692"/>
      <c r="M117" s="1692"/>
      <c r="N117" s="1216"/>
      <c r="O117" s="1216"/>
      <c r="P117" s="1216"/>
      <c r="Q117" s="1216"/>
      <c r="R117" s="1692"/>
      <c r="S117" s="1216"/>
      <c r="T117" s="1216"/>
      <c r="U117" s="600"/>
      <c r="V117" s="1216"/>
      <c r="W117" s="1216"/>
      <c r="X117" s="1216"/>
      <c r="Y117" s="1216"/>
      <c r="Z117" s="1216"/>
      <c r="AA117" s="1688"/>
      <c r="AB117" s="622"/>
      <c r="AC117" s="622"/>
      <c r="AD117" s="622"/>
      <c r="AE117" s="622"/>
      <c r="AF117" s="1697">
        <v>11</v>
      </c>
    </row>
    <row s="3442" customFormat="1" customHeight="1" ht="11.549999999999999">
      <c r="A118" s="1043"/>
      <c r="B118" s="1692"/>
      <c r="C118" s="1692"/>
      <c r="D118" s="407"/>
      <c r="K118" s="1216"/>
      <c r="L118" s="1692"/>
      <c r="M118" s="1692"/>
      <c r="N118" s="1216"/>
      <c r="O118" s="1216"/>
      <c r="P118" s="1216"/>
      <c r="Q118" s="1216"/>
      <c r="R118" s="1692"/>
      <c r="S118" s="1216"/>
      <c r="T118" s="1216"/>
      <c r="U118" s="600"/>
      <c r="V118" s="1216"/>
      <c r="W118" s="1216"/>
      <c r="X118" s="1216"/>
      <c r="Y118" s="1216"/>
      <c r="Z118" s="1216"/>
      <c r="AA118" s="1688"/>
      <c r="AB118" s="622"/>
      <c r="AC118" s="622"/>
      <c r="AD118" s="622"/>
      <c r="AE118" s="622"/>
      <c r="AF118" s="1697">
        <v>11</v>
      </c>
    </row>
    <row s="3442" customFormat="1" customHeight="1" ht="11.549999999999999">
      <c r="A119" s="1043"/>
      <c r="B119" s="1692"/>
      <c r="C119" s="1692"/>
      <c r="D119" s="407"/>
      <c r="K119" s="1216"/>
      <c r="L119" s="1692"/>
      <c r="M119" s="1692"/>
      <c r="N119" s="1216"/>
      <c r="O119" s="1216"/>
      <c r="P119" s="1216"/>
      <c r="Q119" s="1216"/>
      <c r="R119" s="1692"/>
      <c r="S119" s="1216"/>
      <c r="T119" s="1216"/>
      <c r="U119" s="600"/>
      <c r="V119" s="1216"/>
      <c r="W119" s="1216"/>
      <c r="X119" s="1216"/>
      <c r="Y119" s="1216"/>
      <c r="Z119" s="1216"/>
      <c r="AA119" s="1688"/>
      <c r="AB119" s="622"/>
      <c r="AC119" s="622"/>
      <c r="AD119" s="622"/>
      <c r="AE119" s="622"/>
      <c r="AF119" s="1697">
        <v>11</v>
      </c>
    </row>
    <row s="3442" customFormat="1" customHeight="1" ht="11.549999999999999">
      <c r="A120" s="1043"/>
      <c r="B120" s="1692"/>
      <c r="C120" s="1692"/>
      <c r="D120" s="407"/>
      <c r="K120" s="1216"/>
      <c r="L120" s="1692"/>
      <c r="M120" s="1692"/>
      <c r="N120" s="1216"/>
      <c r="O120" s="1216"/>
      <c r="P120" s="1216"/>
      <c r="Q120" s="1216"/>
      <c r="R120" s="1692"/>
      <c r="S120" s="1216"/>
      <c r="T120" s="1216"/>
      <c r="U120" s="600"/>
      <c r="V120" s="1216"/>
      <c r="W120" s="1216"/>
      <c r="X120" s="1216"/>
      <c r="Y120" s="1216"/>
      <c r="Z120" s="1216"/>
      <c r="AA120" s="1688"/>
      <c r="AB120" s="622"/>
      <c r="AC120" s="622"/>
      <c r="AD120" s="622"/>
      <c r="AE120" s="622"/>
      <c r="AF120" s="1697">
        <v>11</v>
      </c>
    </row>
    <row s="3442" customFormat="1" customHeight="1" ht="11.549999999999999">
      <c r="A121" s="1043"/>
      <c r="B121" s="1692"/>
      <c r="C121" s="1692"/>
      <c r="D121" s="407"/>
      <c r="K121" s="1216"/>
      <c r="L121" s="1692"/>
      <c r="M121" s="1692"/>
      <c r="N121" s="1216"/>
      <c r="O121" s="1216"/>
      <c r="P121" s="1216"/>
      <c r="Q121" s="1216"/>
      <c r="R121" s="1692"/>
      <c r="S121" s="1216"/>
      <c r="T121" s="1216"/>
      <c r="U121" s="600"/>
      <c r="V121" s="1216"/>
      <c r="W121" s="1216"/>
      <c r="X121" s="1216"/>
      <c r="Y121" s="1216"/>
      <c r="Z121" s="1216"/>
      <c r="AA121" s="1688"/>
      <c r="AB121" s="622"/>
      <c r="AC121" s="622"/>
      <c r="AD121" s="622"/>
      <c r="AE121" s="622"/>
      <c r="AF121" s="1697">
        <v>11</v>
      </c>
    </row>
    <row s="3442" customFormat="1" customHeight="1" ht="11.549999999999999">
      <c r="A122" s="1043"/>
      <c r="B122" s="1692"/>
      <c r="C122" s="1692"/>
      <c r="D122" s="407"/>
      <c r="K122" s="1216"/>
      <c r="L122" s="1692"/>
      <c r="M122" s="1692"/>
      <c r="N122" s="1216"/>
      <c r="O122" s="1216"/>
      <c r="P122" s="1216"/>
      <c r="Q122" s="1216"/>
      <c r="R122" s="1692"/>
      <c r="S122" s="1216"/>
      <c r="T122" s="1216"/>
      <c r="U122" s="600"/>
      <c r="V122" s="1216"/>
      <c r="W122" s="1216"/>
      <c r="X122" s="1216"/>
      <c r="Y122" s="1216"/>
      <c r="Z122" s="1216"/>
      <c r="AA122" s="1688"/>
      <c r="AB122" s="622"/>
      <c r="AC122" s="622"/>
      <c r="AD122" s="622"/>
      <c r="AE122" s="622"/>
      <c r="AF122" s="1697">
        <v>11</v>
      </c>
    </row>
    <row s="3442" customFormat="1" customHeight="1" ht="11.549999999999999">
      <c r="A123" s="1043"/>
      <c r="B123" s="1692"/>
      <c r="C123" s="1692"/>
      <c r="D123" s="407"/>
      <c r="K123" s="1216"/>
      <c r="L123" s="1692"/>
      <c r="M123" s="1692"/>
      <c r="N123" s="1216"/>
      <c r="O123" s="1216"/>
      <c r="P123" s="1216"/>
      <c r="Q123" s="1216"/>
      <c r="R123" s="1692"/>
      <c r="S123" s="1216"/>
      <c r="T123" s="1216"/>
      <c r="U123" s="600"/>
      <c r="V123" s="1216"/>
      <c r="W123" s="1216"/>
      <c r="X123" s="1216"/>
      <c r="Y123" s="1216"/>
      <c r="Z123" s="1216"/>
      <c r="AA123" s="1688"/>
      <c r="AB123" s="622"/>
      <c r="AC123" s="622"/>
      <c r="AD123" s="622"/>
      <c r="AE123" s="622"/>
      <c r="AF123" s="1697">
        <v>11</v>
      </c>
    </row>
    <row s="3442" customFormat="1" customHeight="1" ht="11.549999999999999">
      <c r="A124" s="1043"/>
      <c r="B124" s="1692"/>
      <c r="C124" s="1692"/>
      <c r="D124" s="407"/>
      <c r="K124" s="1216"/>
      <c r="L124" s="1692"/>
      <c r="M124" s="1692"/>
      <c r="N124" s="1216"/>
      <c r="O124" s="1216"/>
      <c r="P124" s="1216"/>
      <c r="Q124" s="1216"/>
      <c r="R124" s="1692"/>
      <c r="S124" s="1216"/>
      <c r="T124" s="1216"/>
      <c r="U124" s="600"/>
      <c r="V124" s="1216"/>
      <c r="W124" s="1216"/>
      <c r="X124" s="1216"/>
      <c r="Y124" s="1216"/>
      <c r="Z124" s="1216"/>
      <c r="AA124" s="1688"/>
      <c r="AB124" s="622"/>
      <c r="AC124" s="622"/>
      <c r="AD124" s="622"/>
      <c r="AE124" s="622"/>
      <c r="AF124" s="1697">
        <v>11</v>
      </c>
    </row>
    <row s="3442" customFormat="1" customHeight="1" ht="11.549999999999999">
      <c r="A125" s="1043"/>
      <c r="B125" s="1692"/>
      <c r="C125" s="1692"/>
      <c r="D125" s="407"/>
      <c r="K125" s="1216"/>
      <c r="L125" s="1692"/>
      <c r="M125" s="1692"/>
      <c r="N125" s="1216"/>
      <c r="O125" s="1216"/>
      <c r="P125" s="1216"/>
      <c r="Q125" s="1216"/>
      <c r="R125" s="1692"/>
      <c r="S125" s="1216"/>
      <c r="T125" s="1216"/>
      <c r="U125" s="600"/>
      <c r="V125" s="1216"/>
      <c r="W125" s="1216"/>
      <c r="X125" s="1216"/>
      <c r="Y125" s="1216"/>
      <c r="Z125" s="1216"/>
      <c r="AA125" s="1688"/>
      <c r="AB125" s="622"/>
      <c r="AC125" s="622"/>
      <c r="AD125" s="622"/>
      <c r="AE125" s="622"/>
      <c r="AF125" s="1697">
        <v>11</v>
      </c>
    </row>
    <row s="3442" customFormat="1" customHeight="1" ht="11.549999999999999">
      <c r="A126" s="1043"/>
      <c r="B126" s="1692"/>
      <c r="C126" s="1692"/>
      <c r="D126" s="407"/>
      <c r="K126" s="1216"/>
      <c r="L126" s="1692"/>
      <c r="M126" s="1692"/>
      <c r="N126" s="1216"/>
      <c r="O126" s="1216"/>
      <c r="P126" s="1216"/>
      <c r="Q126" s="1216"/>
      <c r="R126" s="1692"/>
      <c r="S126" s="1216"/>
      <c r="T126" s="1216"/>
      <c r="U126" s="600"/>
      <c r="V126" s="1216"/>
      <c r="W126" s="1216"/>
      <c r="X126" s="1216"/>
      <c r="Y126" s="1216"/>
      <c r="Z126" s="1216"/>
      <c r="AA126" s="1688"/>
      <c r="AB126" s="622"/>
      <c r="AC126" s="622"/>
      <c r="AD126" s="622"/>
      <c r="AE126" s="622"/>
      <c r="AF126" s="1697">
        <v>11</v>
      </c>
    </row>
    <row s="3442" customFormat="1" customHeight="1" ht="11.549999999999999">
      <c r="A127" s="1043"/>
      <c r="B127" s="1692"/>
      <c r="C127" s="1692"/>
      <c r="D127" s="407"/>
      <c r="K127" s="1216"/>
      <c r="L127" s="1692"/>
      <c r="M127" s="1692"/>
      <c r="N127" s="1216"/>
      <c r="O127" s="1216"/>
      <c r="P127" s="1216"/>
      <c r="Q127" s="1216"/>
      <c r="R127" s="1692"/>
      <c r="S127" s="1216"/>
      <c r="T127" s="1216"/>
      <c r="U127" s="600"/>
      <c r="V127" s="1216"/>
      <c r="W127" s="1216"/>
      <c r="X127" s="1216"/>
      <c r="Y127" s="1216"/>
      <c r="Z127" s="1216"/>
      <c r="AA127" s="1688"/>
      <c r="AB127" s="622"/>
      <c r="AC127" s="622"/>
      <c r="AD127" s="622"/>
      <c r="AE127" s="622"/>
      <c r="AF127" s="1697">
        <v>11</v>
      </c>
    </row>
    <row s="3442" customFormat="1" customHeight="1" ht="11.549999999999999">
      <c r="A128" s="1043"/>
      <c r="B128" s="1692"/>
      <c r="C128" s="1692"/>
      <c r="D128" s="407"/>
      <c r="K128" s="1216"/>
      <c r="L128" s="1692"/>
      <c r="M128" s="1692"/>
      <c r="N128" s="1216"/>
      <c r="O128" s="1216"/>
      <c r="P128" s="1216"/>
      <c r="Q128" s="1216"/>
      <c r="R128" s="1692"/>
      <c r="S128" s="1216"/>
      <c r="T128" s="1216"/>
      <c r="U128" s="600"/>
      <c r="V128" s="1216"/>
      <c r="W128" s="1216"/>
      <c r="X128" s="1216"/>
      <c r="Y128" s="1216"/>
      <c r="Z128" s="1216"/>
      <c r="AA128" s="1688"/>
      <c r="AB128" s="622"/>
      <c r="AC128" s="622"/>
      <c r="AD128" s="622"/>
      <c r="AE128" s="622"/>
      <c r="AF128" s="1697">
        <v>11</v>
      </c>
    </row>
    <row s="3442" customFormat="1" customHeight="1" ht="11.549999999999999">
      <c r="A129" s="1043"/>
      <c r="B129" s="1692"/>
      <c r="C129" s="1692"/>
      <c r="D129" s="407"/>
      <c r="K129" s="1216"/>
      <c r="L129" s="1692"/>
      <c r="M129" s="1692"/>
      <c r="N129" s="1216"/>
      <c r="O129" s="1216"/>
      <c r="P129" s="1216"/>
      <c r="Q129" s="1216"/>
      <c r="R129" s="1692"/>
      <c r="S129" s="1216"/>
      <c r="T129" s="1216"/>
      <c r="U129" s="600"/>
      <c r="V129" s="1216"/>
      <c r="W129" s="1216"/>
      <c r="X129" s="1216"/>
      <c r="Y129" s="1216"/>
      <c r="Z129" s="1216"/>
      <c r="AA129" s="1688"/>
      <c r="AB129" s="622"/>
      <c r="AC129" s="622"/>
      <c r="AD129" s="622"/>
      <c r="AE129" s="622"/>
      <c r="AF129" s="1697">
        <v>11</v>
      </c>
    </row>
    <row s="3442" customFormat="1" customHeight="1" ht="11.549999999999999">
      <c r="A130" s="1043"/>
      <c r="B130" s="1692"/>
      <c r="C130" s="1692"/>
      <c r="D130" s="407"/>
      <c r="K130" s="1216"/>
      <c r="L130" s="1692"/>
      <c r="M130" s="1692"/>
      <c r="N130" s="1216"/>
      <c r="O130" s="1216"/>
      <c r="P130" s="1216"/>
      <c r="Q130" s="1216"/>
      <c r="R130" s="1692"/>
      <c r="S130" s="1216"/>
      <c r="T130" s="1216"/>
      <c r="U130" s="600"/>
      <c r="V130" s="1216"/>
      <c r="W130" s="1216"/>
      <c r="X130" s="1216"/>
      <c r="Y130" s="1216"/>
      <c r="Z130" s="1216"/>
      <c r="AA130" s="1688"/>
      <c r="AB130" s="622"/>
      <c r="AC130" s="622"/>
      <c r="AD130" s="622"/>
      <c r="AE130" s="622"/>
      <c r="AF130" s="1697">
        <v>11</v>
      </c>
    </row>
    <row s="3442" customFormat="1" customHeight="1" ht="11.549999999999999">
      <c r="A131" s="1043"/>
      <c r="B131" s="1692"/>
      <c r="C131" s="1692"/>
      <c r="D131" s="407"/>
      <c r="K131" s="1216"/>
      <c r="L131" s="1692"/>
      <c r="M131" s="1692"/>
      <c r="N131" s="1216"/>
      <c r="O131" s="1216"/>
      <c r="P131" s="1216"/>
      <c r="Q131" s="1216"/>
      <c r="R131" s="1692"/>
      <c r="S131" s="1216"/>
      <c r="T131" s="1216"/>
      <c r="U131" s="600"/>
      <c r="V131" s="1216"/>
      <c r="W131" s="1216"/>
      <c r="X131" s="1216"/>
      <c r="Y131" s="1216"/>
      <c r="Z131" s="1216"/>
      <c r="AA131" s="1688"/>
      <c r="AB131" s="622"/>
      <c r="AC131" s="622"/>
      <c r="AD131" s="622"/>
      <c r="AE131" s="622"/>
      <c r="AF131" s="1697">
        <v>11</v>
      </c>
    </row>
    <row s="3442" customFormat="1" customHeight="1" ht="11.549999999999999">
      <c r="A132" s="1043"/>
      <c r="B132" s="1692"/>
      <c r="C132" s="1692"/>
      <c r="D132" s="407"/>
      <c r="K132" s="1216"/>
      <c r="L132" s="1692"/>
      <c r="M132" s="1692"/>
      <c r="N132" s="1216"/>
      <c r="O132" s="1216"/>
      <c r="P132" s="1216"/>
      <c r="Q132" s="1216"/>
      <c r="R132" s="1692"/>
      <c r="S132" s="1216"/>
      <c r="T132" s="1216"/>
      <c r="U132" s="600"/>
      <c r="V132" s="1216"/>
      <c r="W132" s="1216"/>
      <c r="X132" s="1216"/>
      <c r="Y132" s="1216"/>
      <c r="Z132" s="1216"/>
      <c r="AA132" s="1688"/>
      <c r="AB132" s="622"/>
      <c r="AC132" s="622"/>
      <c r="AD132" s="622"/>
      <c r="AE132" s="622"/>
      <c r="AF132" s="1697">
        <v>11</v>
      </c>
    </row>
    <row s="3442" customFormat="1" customHeight="1" ht="11.549999999999999">
      <c r="A133" s="1043"/>
      <c r="B133" s="1692"/>
      <c r="C133" s="1692"/>
      <c r="D133" s="407"/>
      <c r="K133" s="1216"/>
      <c r="L133" s="1692"/>
      <c r="M133" s="1692"/>
      <c r="N133" s="1216"/>
      <c r="O133" s="1216"/>
      <c r="P133" s="1216"/>
      <c r="Q133" s="1216"/>
      <c r="R133" s="1692"/>
      <c r="S133" s="1216"/>
      <c r="T133" s="1216"/>
      <c r="U133" s="600"/>
      <c r="V133" s="1216"/>
      <c r="W133" s="1216"/>
      <c r="X133" s="1216"/>
      <c r="Y133" s="1216"/>
      <c r="Z133" s="1216"/>
      <c r="AA133" s="1688"/>
      <c r="AB133" s="622"/>
      <c r="AC133" s="622"/>
      <c r="AD133" s="622"/>
      <c r="AE133" s="622"/>
      <c r="AF133" s="1697">
        <v>11</v>
      </c>
    </row>
    <row s="3442" customFormat="1" customHeight="1" ht="11.549999999999999">
      <c r="A134" s="1043"/>
      <c r="B134" s="1692"/>
      <c r="C134" s="1692"/>
      <c r="D134" s="407"/>
      <c r="K134" s="1216"/>
      <c r="L134" s="1692"/>
      <c r="M134" s="1692"/>
      <c r="N134" s="1216"/>
      <c r="O134" s="1216"/>
      <c r="P134" s="1216"/>
      <c r="Q134" s="1216"/>
      <c r="R134" s="1692"/>
      <c r="S134" s="1216"/>
      <c r="T134" s="1216"/>
      <c r="U134" s="600"/>
      <c r="V134" s="1216"/>
      <c r="W134" s="1216"/>
      <c r="X134" s="1216"/>
      <c r="Y134" s="1216"/>
      <c r="Z134" s="1216"/>
      <c r="AA134" s="1688"/>
      <c r="AB134" s="622"/>
      <c r="AC134" s="622"/>
      <c r="AD134" s="622"/>
      <c r="AE134" s="622"/>
      <c r="AF134" s="1697">
        <v>11</v>
      </c>
    </row>
    <row s="3442" customFormat="1" customHeight="1" ht="11.549999999999999">
      <c r="A135" s="1043"/>
      <c r="B135" s="1692"/>
      <c r="C135" s="1692"/>
      <c r="D135" s="407"/>
      <c r="K135" s="1216"/>
      <c r="L135" s="1692"/>
      <c r="M135" s="1692"/>
      <c r="N135" s="1216"/>
      <c r="O135" s="1216"/>
      <c r="P135" s="1216"/>
      <c r="Q135" s="1216"/>
      <c r="R135" s="1692"/>
      <c r="S135" s="1216"/>
      <c r="T135" s="1216"/>
      <c r="U135" s="600"/>
      <c r="V135" s="1216"/>
      <c r="W135" s="1216"/>
      <c r="X135" s="1216"/>
      <c r="Y135" s="1216"/>
      <c r="Z135" s="1216"/>
      <c r="AA135" s="1688"/>
      <c r="AB135" s="622"/>
      <c r="AC135" s="622"/>
      <c r="AD135" s="622"/>
      <c r="AE135" s="622"/>
      <c r="AF135" s="1697">
        <v>11</v>
      </c>
    </row>
    <row s="3442" customFormat="1" customHeight="1" ht="11.549999999999999">
      <c r="A136" s="1043"/>
      <c r="B136" s="1692"/>
      <c r="C136" s="1692"/>
      <c r="D136" s="407"/>
      <c r="K136" s="1216"/>
      <c r="L136" s="1692"/>
      <c r="M136" s="1692"/>
      <c r="N136" s="1216"/>
      <c r="O136" s="1216"/>
      <c r="P136" s="1216"/>
      <c r="Q136" s="1216"/>
      <c r="R136" s="1692"/>
      <c r="S136" s="1216"/>
      <c r="T136" s="1216"/>
      <c r="U136" s="600"/>
      <c r="V136" s="1216"/>
      <c r="W136" s="1216"/>
      <c r="X136" s="1216"/>
      <c r="Y136" s="1216"/>
      <c r="Z136" s="1216"/>
      <c r="AA136" s="1688"/>
      <c r="AB136" s="622"/>
      <c r="AC136" s="622"/>
      <c r="AD136" s="622"/>
      <c r="AE136" s="622"/>
      <c r="AF136" s="1697">
        <v>11</v>
      </c>
    </row>
    <row s="3442" customFormat="1" customHeight="1" ht="11.549999999999999">
      <c r="A137" s="1043"/>
      <c r="B137" s="1692"/>
      <c r="C137" s="1692"/>
      <c r="D137" s="407"/>
      <c r="K137" s="1216"/>
      <c r="L137" s="1692"/>
      <c r="M137" s="1692"/>
      <c r="N137" s="1216"/>
      <c r="O137" s="1216"/>
      <c r="P137" s="1216"/>
      <c r="Q137" s="1216"/>
      <c r="R137" s="1692"/>
      <c r="S137" s="1216"/>
      <c r="T137" s="1216"/>
      <c r="U137" s="600"/>
      <c r="V137" s="1216"/>
      <c r="W137" s="1216"/>
      <c r="X137" s="1216"/>
      <c r="Y137" s="1216"/>
      <c r="Z137" s="1216"/>
      <c r="AA137" s="1688"/>
      <c r="AB137" s="622"/>
      <c r="AC137" s="622"/>
      <c r="AD137" s="622"/>
      <c r="AE137" s="622"/>
      <c r="AF137" s="1697">
        <v>11</v>
      </c>
    </row>
    <row s="3442" customFormat="1" customHeight="1" ht="11.549999999999999">
      <c r="A138" s="1043"/>
      <c r="B138" s="1692"/>
      <c r="C138" s="1692"/>
      <c r="D138" s="407"/>
      <c r="K138" s="1216"/>
      <c r="L138" s="1692"/>
      <c r="M138" s="1692"/>
      <c r="N138" s="1216"/>
      <c r="O138" s="1216"/>
      <c r="P138" s="1216"/>
      <c r="Q138" s="1216"/>
      <c r="R138" s="1692"/>
      <c r="S138" s="1216"/>
      <c r="T138" s="1216"/>
      <c r="U138" s="600"/>
      <c r="V138" s="1216"/>
      <c r="W138" s="1216"/>
      <c r="X138" s="1216"/>
      <c r="Y138" s="1216"/>
      <c r="Z138" s="1216"/>
      <c r="AA138" s="1688"/>
      <c r="AB138" s="622"/>
      <c r="AC138" s="622"/>
      <c r="AD138" s="622"/>
      <c r="AE138" s="622"/>
      <c r="AF138" s="1697">
        <v>11</v>
      </c>
    </row>
    <row s="3442" customFormat="1" customHeight="1" ht="11.549999999999999">
      <c r="A139" s="1043"/>
      <c r="B139" s="1692"/>
      <c r="C139" s="1692"/>
      <c r="D139" s="407"/>
      <c r="K139" s="1216"/>
      <c r="L139" s="1692"/>
      <c r="M139" s="1692"/>
      <c r="N139" s="1216"/>
      <c r="O139" s="1216"/>
      <c r="P139" s="1216"/>
      <c r="Q139" s="1216"/>
      <c r="R139" s="1692"/>
      <c r="S139" s="1216"/>
      <c r="T139" s="1216"/>
      <c r="U139" s="600"/>
      <c r="V139" s="1216"/>
      <c r="W139" s="1216"/>
      <c r="X139" s="1216"/>
      <c r="Y139" s="1216"/>
      <c r="Z139" s="1216"/>
      <c r="AA139" s="1688"/>
      <c r="AB139" s="622"/>
      <c r="AC139" s="622"/>
      <c r="AD139" s="622"/>
      <c r="AE139" s="622"/>
      <c r="AF139" s="1697">
        <v>11</v>
      </c>
    </row>
    <row s="3442" customFormat="1" customHeight="1" ht="11.549999999999999">
      <c r="A140" s="1043"/>
      <c r="B140" s="1692"/>
      <c r="C140" s="1692"/>
      <c r="D140" s="407"/>
      <c r="K140" s="1216"/>
      <c r="L140" s="1692"/>
      <c r="M140" s="1692"/>
      <c r="N140" s="1216"/>
      <c r="O140" s="1216"/>
      <c r="P140" s="1216"/>
      <c r="Q140" s="1216"/>
      <c r="R140" s="1692"/>
      <c r="S140" s="1216"/>
      <c r="T140" s="1216"/>
      <c r="U140" s="600"/>
      <c r="V140" s="1216"/>
      <c r="W140" s="1216"/>
      <c r="X140" s="1216"/>
      <c r="Y140" s="1216"/>
      <c r="Z140" s="1216"/>
      <c r="AA140" s="1688"/>
      <c r="AB140" s="622"/>
      <c r="AC140" s="622"/>
      <c r="AD140" s="622"/>
      <c r="AE140" s="622"/>
      <c r="AF140" s="1697">
        <v>11</v>
      </c>
    </row>
    <row s="3442" customFormat="1" customHeight="1" ht="11.549999999999999">
      <c r="A141" s="1043"/>
      <c r="B141" s="1692"/>
      <c r="C141" s="1692"/>
      <c r="D141" s="407"/>
      <c r="K141" s="1216"/>
      <c r="L141" s="1692"/>
      <c r="M141" s="1692"/>
      <c r="N141" s="1216"/>
      <c r="O141" s="1216"/>
      <c r="P141" s="1216"/>
      <c r="Q141" s="1216"/>
      <c r="R141" s="1692"/>
      <c r="S141" s="1216"/>
      <c r="T141" s="1216"/>
      <c r="U141" s="600"/>
      <c r="V141" s="1216"/>
      <c r="W141" s="1216"/>
      <c r="X141" s="1216"/>
      <c r="Y141" s="1216"/>
      <c r="Z141" s="1216"/>
      <c r="AA141" s="1688"/>
      <c r="AB141" s="622"/>
      <c r="AC141" s="622"/>
      <c r="AD141" s="622"/>
      <c r="AE141" s="622"/>
      <c r="AF141" s="1697">
        <v>11</v>
      </c>
    </row>
    <row s="3442" customFormat="1" customHeight="1" ht="11.549999999999999">
      <c r="A142" s="1043"/>
      <c r="B142" s="1692"/>
      <c r="C142" s="1692"/>
      <c r="D142" s="407"/>
      <c r="K142" s="1216"/>
      <c r="L142" s="1692"/>
      <c r="M142" s="1692"/>
      <c r="N142" s="1216"/>
      <c r="O142" s="1216"/>
      <c r="P142" s="1216"/>
      <c r="Q142" s="1216"/>
      <c r="R142" s="1692"/>
      <c r="S142" s="1216"/>
      <c r="T142" s="1216"/>
      <c r="U142" s="600"/>
      <c r="V142" s="1216"/>
      <c r="W142" s="1216"/>
      <c r="X142" s="1216"/>
      <c r="Y142" s="1216"/>
      <c r="Z142" s="1216"/>
      <c r="AA142" s="1688"/>
      <c r="AB142" s="622"/>
      <c r="AC142" s="622"/>
      <c r="AD142" s="622"/>
      <c r="AE142" s="622"/>
      <c r="AF142" s="1697">
        <v>11</v>
      </c>
    </row>
    <row s="3442" customFormat="1" customHeight="1" ht="11.549999999999999">
      <c r="A143" s="1043"/>
      <c r="B143" s="1692"/>
      <c r="C143" s="1692"/>
      <c r="D143" s="407"/>
      <c r="K143" s="1216"/>
      <c r="L143" s="1692"/>
      <c r="M143" s="1692"/>
      <c r="N143" s="1216"/>
      <c r="O143" s="1216"/>
      <c r="P143" s="1216"/>
      <c r="Q143" s="1216"/>
      <c r="R143" s="1692"/>
      <c r="S143" s="1216"/>
      <c r="T143" s="1216"/>
      <c r="U143" s="600"/>
      <c r="V143" s="1216"/>
      <c r="W143" s="1216"/>
      <c r="X143" s="1216"/>
      <c r="Y143" s="1216"/>
      <c r="Z143" s="1216"/>
      <c r="AA143" s="1688"/>
      <c r="AB143" s="622"/>
      <c r="AC143" s="622"/>
      <c r="AD143" s="622"/>
      <c r="AE143" s="622"/>
      <c r="AF143" s="1697">
        <v>11</v>
      </c>
    </row>
    <row s="3442" customFormat="1" customHeight="1" ht="11.549999999999999">
      <c r="A144" s="1043"/>
      <c r="B144" s="1692"/>
      <c r="C144" s="1692"/>
      <c r="D144" s="407"/>
      <c r="K144" s="1216"/>
      <c r="L144" s="1692"/>
      <c r="M144" s="1692"/>
      <c r="N144" s="1216"/>
      <c r="O144" s="1216"/>
      <c r="P144" s="1216"/>
      <c r="Q144" s="1216"/>
      <c r="R144" s="1692"/>
      <c r="S144" s="1216"/>
      <c r="T144" s="1216"/>
      <c r="U144" s="600"/>
      <c r="V144" s="1216"/>
      <c r="W144" s="1216"/>
      <c r="X144" s="1216"/>
      <c r="Y144" s="1216"/>
      <c r="Z144" s="1216"/>
      <c r="AA144" s="1688"/>
      <c r="AB144" s="622"/>
      <c r="AC144" s="622"/>
      <c r="AD144" s="622"/>
      <c r="AE144" s="622"/>
      <c r="AF144" s="1697">
        <v>11</v>
      </c>
    </row>
    <row s="3442" customFormat="1" customHeight="1" ht="11.549999999999999">
      <c r="A145" s="1043"/>
      <c r="B145" s="1692"/>
      <c r="C145" s="1692"/>
      <c r="D145" s="407"/>
      <c r="K145" s="1216"/>
      <c r="L145" s="1692"/>
      <c r="M145" s="1692"/>
      <c r="N145" s="1216"/>
      <c r="O145" s="1216"/>
      <c r="P145" s="1216"/>
      <c r="Q145" s="1216"/>
      <c r="R145" s="1692"/>
      <c r="S145" s="1216"/>
      <c r="T145" s="1216"/>
      <c r="U145" s="600"/>
      <c r="V145" s="1216"/>
      <c r="W145" s="1216"/>
      <c r="X145" s="1216"/>
      <c r="Y145" s="1216"/>
      <c r="Z145" s="1216"/>
      <c r="AA145" s="1688"/>
      <c r="AB145" s="622"/>
      <c r="AC145" s="622"/>
      <c r="AD145" s="622"/>
      <c r="AE145" s="622"/>
      <c r="AF145" s="1697">
        <v>11</v>
      </c>
    </row>
    <row s="3442" customFormat="1" customHeight="1" ht="11.549999999999999">
      <c r="A146" s="1043"/>
      <c r="B146" s="1692"/>
      <c r="C146" s="1692"/>
      <c r="D146" s="407"/>
      <c r="K146" s="1216"/>
      <c r="L146" s="1692"/>
      <c r="M146" s="1692"/>
      <c r="N146" s="1216"/>
      <c r="O146" s="1216"/>
      <c r="P146" s="1216"/>
      <c r="Q146" s="1216"/>
      <c r="R146" s="1692"/>
      <c r="S146" s="1216"/>
      <c r="T146" s="1216"/>
      <c r="U146" s="600"/>
      <c r="V146" s="1216"/>
      <c r="W146" s="1216"/>
      <c r="X146" s="1216"/>
      <c r="Y146" s="1216"/>
      <c r="Z146" s="1216"/>
      <c r="AA146" s="1688"/>
      <c r="AB146" s="622"/>
      <c r="AC146" s="622"/>
      <c r="AD146" s="622"/>
      <c r="AE146" s="622"/>
      <c r="AF146" s="1697">
        <v>11</v>
      </c>
    </row>
    <row s="3442" customFormat="1" customHeight="1" ht="11.549999999999999">
      <c r="A147" s="1043"/>
      <c r="B147" s="1692"/>
      <c r="C147" s="1692"/>
      <c r="D147" s="407"/>
      <c r="K147" s="1216"/>
      <c r="L147" s="1692"/>
      <c r="M147" s="1692"/>
      <c r="N147" s="1216"/>
      <c r="O147" s="1216"/>
      <c r="P147" s="1216"/>
      <c r="Q147" s="1216"/>
      <c r="R147" s="1692"/>
      <c r="S147" s="1216"/>
      <c r="T147" s="1216"/>
      <c r="U147" s="600"/>
      <c r="V147" s="1216"/>
      <c r="W147" s="1216"/>
      <c r="X147" s="1216"/>
      <c r="Y147" s="1216"/>
      <c r="Z147" s="1216"/>
      <c r="AA147" s="1688"/>
      <c r="AB147" s="622"/>
      <c r="AC147" s="622"/>
      <c r="AD147" s="622"/>
      <c r="AE147" s="622"/>
      <c r="AF147" s="1697">
        <v>11</v>
      </c>
    </row>
    <row s="3442" customFormat="1" customHeight="1" ht="11.549999999999999">
      <c r="A148" s="1043"/>
      <c r="B148" s="1692"/>
      <c r="C148" s="1692"/>
      <c r="D148" s="407"/>
      <c r="K148" s="1216"/>
      <c r="L148" s="1692"/>
      <c r="M148" s="1692"/>
      <c r="N148" s="1216"/>
      <c r="O148" s="1216"/>
      <c r="P148" s="1216"/>
      <c r="Q148" s="1216"/>
      <c r="R148" s="1692"/>
      <c r="S148" s="1216"/>
      <c r="T148" s="1216"/>
      <c r="U148" s="600"/>
      <c r="V148" s="1216"/>
      <c r="W148" s="1216"/>
      <c r="X148" s="1216"/>
      <c r="Y148" s="1216"/>
      <c r="Z148" s="1216"/>
      <c r="AA148" s="1688"/>
      <c r="AB148" s="622"/>
      <c r="AC148" s="622"/>
      <c r="AD148" s="622"/>
      <c r="AE148" s="622"/>
      <c r="AF148" s="1697">
        <v>11</v>
      </c>
    </row>
    <row s="3442" customFormat="1" customHeight="1" ht="11.549999999999999">
      <c r="A149" s="1043"/>
      <c r="B149" s="1692"/>
      <c r="C149" s="1692"/>
      <c r="D149" s="407"/>
      <c r="K149" s="1216"/>
      <c r="L149" s="1692"/>
      <c r="M149" s="1692"/>
      <c r="N149" s="1216"/>
      <c r="O149" s="1216"/>
      <c r="P149" s="1216"/>
      <c r="Q149" s="1216"/>
      <c r="R149" s="1692"/>
      <c r="S149" s="1216"/>
      <c r="T149" s="1216"/>
      <c r="U149" s="600"/>
      <c r="V149" s="1216"/>
      <c r="W149" s="1216"/>
      <c r="X149" s="1216"/>
      <c r="Y149" s="1216"/>
      <c r="Z149" s="1216"/>
      <c r="AA149" s="1688"/>
      <c r="AB149" s="622"/>
      <c r="AC149" s="622"/>
      <c r="AD149" s="622"/>
      <c r="AE149" s="622"/>
      <c r="AF149" s="1697">
        <v>11</v>
      </c>
    </row>
    <row s="3442" customFormat="1" customHeight="1" ht="11.549999999999999">
      <c r="A150" s="1043"/>
      <c r="B150" s="1692"/>
      <c r="C150" s="1692"/>
      <c r="D150" s="407"/>
      <c r="K150" s="1216"/>
      <c r="L150" s="1692"/>
      <c r="M150" s="1692"/>
      <c r="N150" s="1216"/>
      <c r="O150" s="1216"/>
      <c r="P150" s="1216"/>
      <c r="Q150" s="1216"/>
      <c r="R150" s="1692"/>
      <c r="S150" s="1216"/>
      <c r="T150" s="1216"/>
      <c r="U150" s="600"/>
      <c r="V150" s="1216"/>
      <c r="W150" s="1216"/>
      <c r="X150" s="1216"/>
      <c r="Y150" s="1216"/>
      <c r="Z150" s="1216"/>
      <c r="AA150" s="1688"/>
      <c r="AB150" s="622"/>
      <c r="AC150" s="622"/>
      <c r="AD150" s="622"/>
      <c r="AE150" s="622"/>
      <c r="AF150" s="1697">
        <v>11</v>
      </c>
    </row>
    <row s="3442" customFormat="1" customHeight="1" ht="11.549999999999999">
      <c r="A151" s="1043"/>
      <c r="B151" s="1692"/>
      <c r="C151" s="1692"/>
      <c r="D151" s="407"/>
      <c r="K151" s="1216"/>
      <c r="L151" s="1692"/>
      <c r="M151" s="1692"/>
      <c r="N151" s="1216"/>
      <c r="O151" s="1216"/>
      <c r="P151" s="1216"/>
      <c r="Q151" s="1216"/>
      <c r="R151" s="1692"/>
      <c r="S151" s="1216"/>
      <c r="T151" s="1216"/>
      <c r="U151" s="600"/>
      <c r="V151" s="1216"/>
      <c r="W151" s="1216"/>
      <c r="X151" s="1216"/>
      <c r="Y151" s="1216"/>
      <c r="Z151" s="1216"/>
      <c r="AA151" s="1688"/>
      <c r="AB151" s="622"/>
      <c r="AC151" s="622"/>
      <c r="AD151" s="622"/>
      <c r="AE151" s="622"/>
      <c r="AF151" s="1697">
        <v>11</v>
      </c>
    </row>
    <row s="3442" customFormat="1" customHeight="1" ht="11.549999999999999">
      <c r="A152" s="1043"/>
      <c r="B152" s="1692"/>
      <c r="C152" s="1692"/>
      <c r="D152" s="407"/>
      <c r="K152" s="1216"/>
      <c r="L152" s="1692"/>
      <c r="M152" s="1692"/>
      <c r="N152" s="1216"/>
      <c r="O152" s="1216"/>
      <c r="P152" s="1216"/>
      <c r="Q152" s="1216"/>
      <c r="R152" s="1692"/>
      <c r="S152" s="1216"/>
      <c r="T152" s="1216"/>
      <c r="U152" s="600"/>
      <c r="V152" s="1216"/>
      <c r="W152" s="1216"/>
      <c r="X152" s="1216"/>
      <c r="Y152" s="1216"/>
      <c r="Z152" s="1216"/>
      <c r="AA152" s="1688"/>
      <c r="AB152" s="622"/>
      <c r="AC152" s="622"/>
      <c r="AD152" s="622"/>
      <c r="AE152" s="622"/>
      <c r="AF152" s="1697">
        <v>11</v>
      </c>
    </row>
    <row s="3442" customFormat="1" customHeight="1" ht="11.549999999999999">
      <c r="A153" s="1043"/>
      <c r="B153" s="1692"/>
      <c r="C153" s="1692"/>
      <c r="D153" s="407"/>
      <c r="K153" s="1216"/>
      <c r="L153" s="1692"/>
      <c r="M153" s="1692"/>
      <c r="N153" s="1216"/>
      <c r="O153" s="1216"/>
      <c r="P153" s="1216"/>
      <c r="Q153" s="1216"/>
      <c r="R153" s="1692"/>
      <c r="S153" s="1216"/>
      <c r="T153" s="1216"/>
      <c r="U153" s="600"/>
      <c r="V153" s="1216"/>
      <c r="W153" s="1216"/>
      <c r="X153" s="1216"/>
      <c r="Y153" s="1216"/>
      <c r="Z153" s="1216"/>
      <c r="AA153" s="1688"/>
      <c r="AB153" s="622"/>
      <c r="AC153" s="622"/>
      <c r="AD153" s="622"/>
      <c r="AE153" s="622"/>
      <c r="AF153" s="1697">
        <v>11</v>
      </c>
    </row>
    <row s="3442" customFormat="1" customHeight="1" ht="11.549999999999999">
      <c r="A154" s="1043"/>
      <c r="B154" s="1692"/>
      <c r="C154" s="1692"/>
      <c r="D154" s="407"/>
      <c r="K154" s="1216"/>
      <c r="L154" s="1692"/>
      <c r="M154" s="1692"/>
      <c r="N154" s="1216"/>
      <c r="O154" s="1216"/>
      <c r="P154" s="1216"/>
      <c r="Q154" s="1216"/>
      <c r="R154" s="1692"/>
      <c r="S154" s="1216"/>
      <c r="T154" s="1216"/>
      <c r="U154" s="600"/>
      <c r="V154" s="1216"/>
      <c r="W154" s="1216"/>
      <c r="X154" s="1216"/>
      <c r="Y154" s="1216"/>
      <c r="Z154" s="1216"/>
      <c r="AA154" s="1688"/>
      <c r="AB154" s="622"/>
      <c r="AC154" s="622"/>
      <c r="AD154" s="622"/>
      <c r="AE154" s="622"/>
      <c r="AF154" s="1697">
        <v>11</v>
      </c>
    </row>
    <row s="3442" customFormat="1" customHeight="1" ht="11.549999999999999">
      <c r="A155" s="1043"/>
      <c r="B155" s="1692"/>
      <c r="C155" s="1692"/>
      <c r="D155" s="407"/>
      <c r="K155" s="1216"/>
      <c r="L155" s="1692"/>
      <c r="M155" s="1692"/>
      <c r="N155" s="1216"/>
      <c r="O155" s="1216"/>
      <c r="P155" s="1216"/>
      <c r="Q155" s="1216"/>
      <c r="R155" s="1692"/>
      <c r="S155" s="1216"/>
      <c r="T155" s="1216"/>
      <c r="U155" s="600"/>
      <c r="V155" s="1216"/>
      <c r="W155" s="1216"/>
      <c r="X155" s="1216"/>
      <c r="Y155" s="1216"/>
      <c r="Z155" s="1216"/>
      <c r="AA155" s="1688"/>
      <c r="AB155" s="622"/>
      <c r="AC155" s="622"/>
      <c r="AD155" s="622"/>
      <c r="AE155" s="622"/>
      <c r="AF155" s="1697">
        <v>11</v>
      </c>
    </row>
    <row s="3442" customFormat="1" customHeight="1" ht="11.549999999999999">
      <c r="A156" s="1043"/>
      <c r="B156" s="1692"/>
      <c r="C156" s="1692"/>
      <c r="D156" s="407"/>
      <c r="K156" s="1216"/>
      <c r="L156" s="1692"/>
      <c r="M156" s="1692"/>
      <c r="N156" s="1216"/>
      <c r="O156" s="1216"/>
      <c r="P156" s="1216"/>
      <c r="Q156" s="1216"/>
      <c r="R156" s="1692"/>
      <c r="S156" s="1216"/>
      <c r="T156" s="1216"/>
      <c r="U156" s="600"/>
      <c r="V156" s="1216"/>
      <c r="W156" s="1216"/>
      <c r="X156" s="1216"/>
      <c r="Y156" s="1216"/>
      <c r="Z156" s="1216"/>
      <c r="AA156" s="1688"/>
      <c r="AB156" s="622"/>
      <c r="AC156" s="622"/>
      <c r="AD156" s="622"/>
      <c r="AE156" s="622"/>
      <c r="AF156" s="1697">
        <v>11</v>
      </c>
    </row>
    <row s="3442" customFormat="1" customHeight="1" ht="11.549999999999999">
      <c r="A157" s="1043"/>
      <c r="B157" s="1692"/>
      <c r="C157" s="1692"/>
      <c r="D157" s="407"/>
      <c r="K157" s="1216"/>
      <c r="L157" s="1692"/>
      <c r="M157" s="1692"/>
      <c r="N157" s="1216"/>
      <c r="O157" s="1216"/>
      <c r="P157" s="1216"/>
      <c r="Q157" s="1216"/>
      <c r="R157" s="1692"/>
      <c r="S157" s="1216"/>
      <c r="T157" s="1216"/>
      <c r="U157" s="600"/>
      <c r="V157" s="1216"/>
      <c r="W157" s="1216"/>
      <c r="X157" s="1216"/>
      <c r="Y157" s="1216"/>
      <c r="Z157" s="1216"/>
      <c r="AA157" s="1688"/>
      <c r="AB157" s="622"/>
      <c r="AC157" s="622"/>
      <c r="AD157" s="622"/>
      <c r="AE157" s="622"/>
      <c r="AF157" s="1697">
        <v>11</v>
      </c>
    </row>
    <row s="3442" customFormat="1" customHeight="1" ht="11.549999999999999">
      <c r="A158" s="1043"/>
      <c r="B158" s="1692"/>
      <c r="C158" s="1692"/>
      <c r="D158" s="407"/>
      <c r="K158" s="1216"/>
      <c r="L158" s="1692"/>
      <c r="M158" s="1692"/>
      <c r="N158" s="1216"/>
      <c r="O158" s="1216"/>
      <c r="P158" s="1216"/>
      <c r="Q158" s="1216"/>
      <c r="R158" s="1692"/>
      <c r="S158" s="1216"/>
      <c r="T158" s="1216"/>
      <c r="U158" s="600"/>
      <c r="V158" s="1216"/>
      <c r="W158" s="1216"/>
      <c r="X158" s="1216"/>
      <c r="Y158" s="1216"/>
      <c r="Z158" s="1216"/>
      <c r="AA158" s="1688"/>
      <c r="AB158" s="622"/>
      <c r="AC158" s="622"/>
      <c r="AD158" s="622"/>
      <c r="AE158" s="622"/>
      <c r="AF158" s="1697">
        <v>11</v>
      </c>
    </row>
    <row s="3442" customFormat="1" customHeight="1" ht="11.549999999999999">
      <c r="A159" s="1043"/>
      <c r="B159" s="1692"/>
      <c r="C159" s="1692"/>
      <c r="D159" s="407"/>
      <c r="K159" s="1216"/>
      <c r="L159" s="1692"/>
      <c r="M159" s="1692"/>
      <c r="N159" s="1216"/>
      <c r="O159" s="1216"/>
      <c r="P159" s="1216"/>
      <c r="Q159" s="1216"/>
      <c r="R159" s="1692"/>
      <c r="S159" s="1216"/>
      <c r="T159" s="1216"/>
      <c r="U159" s="600"/>
      <c r="V159" s="1216"/>
      <c r="W159" s="1216"/>
      <c r="X159" s="1216"/>
      <c r="Y159" s="1216"/>
      <c r="Z159" s="1216"/>
      <c r="AA159" s="1688"/>
      <c r="AB159" s="622"/>
      <c r="AC159" s="622"/>
      <c r="AD159" s="622"/>
      <c r="AE159" s="622"/>
      <c r="AF159" s="1697">
        <v>11</v>
      </c>
    </row>
    <row s="3442" customFormat="1" customHeight="1" ht="11.549999999999999">
      <c r="A160" s="1043"/>
      <c r="B160" s="1692"/>
      <c r="C160" s="1692"/>
      <c r="D160" s="407"/>
      <c r="K160" s="1216"/>
      <c r="L160" s="1692"/>
      <c r="M160" s="1692"/>
      <c r="N160" s="1216"/>
      <c r="O160" s="1216"/>
      <c r="P160" s="1216"/>
      <c r="Q160" s="1216"/>
      <c r="R160" s="1692"/>
      <c r="S160" s="1216"/>
      <c r="T160" s="1216"/>
      <c r="U160" s="600"/>
      <c r="V160" s="1216"/>
      <c r="W160" s="1216"/>
      <c r="X160" s="1216"/>
      <c r="Y160" s="1216"/>
      <c r="Z160" s="1216"/>
      <c r="AA160" s="1688"/>
      <c r="AB160" s="622"/>
      <c r="AC160" s="622"/>
      <c r="AD160" s="622"/>
      <c r="AE160" s="622"/>
      <c r="AF160" s="1697">
        <v>11</v>
      </c>
    </row>
    <row s="3442" customFormat="1" customHeight="1" ht="11.549999999999999">
      <c r="A161" s="1043"/>
      <c r="B161" s="1692"/>
      <c r="C161" s="1692"/>
      <c r="D161" s="407"/>
      <c r="K161" s="1216"/>
      <c r="L161" s="1692"/>
      <c r="M161" s="1692"/>
      <c r="N161" s="1216"/>
      <c r="O161" s="1216"/>
      <c r="P161" s="1216"/>
      <c r="Q161" s="1216"/>
      <c r="R161" s="1692"/>
      <c r="S161" s="1216"/>
      <c r="T161" s="1216"/>
      <c r="U161" s="600"/>
      <c r="V161" s="1216"/>
      <c r="W161" s="1216"/>
      <c r="X161" s="1216"/>
      <c r="Y161" s="1216"/>
      <c r="Z161" s="1216"/>
      <c r="AA161" s="1688"/>
      <c r="AB161" s="622"/>
      <c r="AC161" s="622"/>
      <c r="AD161" s="622"/>
      <c r="AE161" s="622"/>
      <c r="AF161" s="1697">
        <v>11</v>
      </c>
    </row>
    <row s="3442" customFormat="1" customHeight="1" ht="11.549999999999999">
      <c r="A162" s="1043"/>
      <c r="B162" s="1692"/>
      <c r="C162" s="1692"/>
      <c r="D162" s="407"/>
      <c r="K162" s="1216"/>
      <c r="L162" s="1692"/>
      <c r="M162" s="1692"/>
      <c r="N162" s="1216"/>
      <c r="O162" s="1216"/>
      <c r="P162" s="1216"/>
      <c r="Q162" s="1216"/>
      <c r="R162" s="1692"/>
      <c r="S162" s="1216"/>
      <c r="T162" s="1216"/>
      <c r="U162" s="600"/>
      <c r="V162" s="1216"/>
      <c r="W162" s="1216"/>
      <c r="X162" s="1216"/>
      <c r="Y162" s="1216"/>
      <c r="Z162" s="1216"/>
      <c r="AA162" s="1688"/>
      <c r="AB162" s="622"/>
      <c r="AC162" s="622"/>
      <c r="AD162" s="622"/>
      <c r="AE162" s="622"/>
      <c r="AF162" s="1697">
        <v>11</v>
      </c>
    </row>
    <row s="3442" customFormat="1" customHeight="1" ht="11.549999999999999">
      <c r="A163" s="1043"/>
      <c r="B163" s="1692"/>
      <c r="C163" s="1692"/>
      <c r="D163" s="407"/>
      <c r="K163" s="1216"/>
      <c r="L163" s="1692"/>
      <c r="M163" s="1692"/>
      <c r="N163" s="1216"/>
      <c r="O163" s="1216"/>
      <c r="P163" s="1216"/>
      <c r="Q163" s="1216"/>
      <c r="R163" s="1692"/>
      <c r="S163" s="1216"/>
      <c r="T163" s="1216"/>
      <c r="U163" s="600"/>
      <c r="V163" s="1216"/>
      <c r="W163" s="1216"/>
      <c r="X163" s="1216"/>
      <c r="Y163" s="1216"/>
      <c r="Z163" s="1216"/>
      <c r="AA163" s="1688"/>
      <c r="AB163" s="622"/>
      <c r="AC163" s="622"/>
      <c r="AD163" s="622"/>
      <c r="AE163" s="622"/>
      <c r="AF163" s="1697">
        <v>11</v>
      </c>
    </row>
    <row s="3442" customFormat="1" customHeight="1" ht="11.549999999999999">
      <c r="A164" s="1043"/>
      <c r="B164" s="1692"/>
      <c r="C164" s="1692"/>
      <c r="D164" s="407"/>
      <c r="K164" s="1216"/>
      <c r="L164" s="1692"/>
      <c r="M164" s="1692"/>
      <c r="N164" s="1216"/>
      <c r="O164" s="1216"/>
      <c r="P164" s="1216"/>
      <c r="Q164" s="1216"/>
      <c r="R164" s="1692"/>
      <c r="S164" s="1216"/>
      <c r="T164" s="1216"/>
      <c r="U164" s="600"/>
      <c r="V164" s="1216"/>
      <c r="W164" s="1216"/>
      <c r="X164" s="1216"/>
      <c r="Y164" s="1216"/>
      <c r="Z164" s="1216"/>
      <c r="AA164" s="1688"/>
      <c r="AB164" s="622"/>
      <c r="AC164" s="622"/>
      <c r="AD164" s="622"/>
      <c r="AE164" s="622"/>
      <c r="AF164" s="1697">
        <v>11</v>
      </c>
    </row>
    <row s="3442" customFormat="1" customHeight="1" ht="11.549999999999999">
      <c r="A165" s="1043"/>
      <c r="B165" s="1692"/>
      <c r="C165" s="1692"/>
      <c r="D165" s="407"/>
      <c r="K165" s="1216"/>
      <c r="L165" s="1692"/>
      <c r="M165" s="1692"/>
      <c r="N165" s="1216"/>
      <c r="O165" s="1216"/>
      <c r="P165" s="1216"/>
      <c r="Q165" s="1216"/>
      <c r="R165" s="1692"/>
      <c r="S165" s="1216"/>
      <c r="T165" s="1216"/>
      <c r="U165" s="600"/>
      <c r="V165" s="1216"/>
      <c r="W165" s="1216"/>
      <c r="X165" s="1216"/>
      <c r="Y165" s="1216"/>
      <c r="Z165" s="1216"/>
      <c r="AA165" s="1688"/>
      <c r="AB165" s="622"/>
      <c r="AC165" s="622"/>
      <c r="AD165" s="622"/>
      <c r="AE165" s="622"/>
      <c r="AF165" s="1697">
        <v>11</v>
      </c>
    </row>
    <row s="3442" customFormat="1" customHeight="1" ht="11.549999999999999">
      <c r="A166" s="1043"/>
      <c r="B166" s="1692"/>
      <c r="C166" s="1692"/>
      <c r="D166" s="407"/>
      <c r="K166" s="1216"/>
      <c r="L166" s="1692"/>
      <c r="M166" s="1692"/>
      <c r="N166" s="1216"/>
      <c r="O166" s="1216"/>
      <c r="P166" s="1216"/>
      <c r="Q166" s="1216"/>
      <c r="R166" s="1692"/>
      <c r="S166" s="1216"/>
      <c r="T166" s="1216"/>
      <c r="U166" s="600"/>
      <c r="V166" s="1216"/>
      <c r="W166" s="1216"/>
      <c r="X166" s="1216"/>
      <c r="Y166" s="1216"/>
      <c r="Z166" s="1216"/>
      <c r="AA166" s="1688"/>
      <c r="AB166" s="622"/>
      <c r="AC166" s="622"/>
      <c r="AD166" s="622"/>
      <c r="AE166" s="622"/>
      <c r="AF166" s="1697">
        <v>11</v>
      </c>
    </row>
    <row s="3442" customFormat="1" customHeight="1" ht="11.549999999999999">
      <c r="A167" s="1043"/>
      <c r="B167" s="1692"/>
      <c r="C167" s="1692"/>
      <c r="D167" s="407"/>
      <c r="K167" s="1216"/>
      <c r="L167" s="1692"/>
      <c r="M167" s="1692"/>
      <c r="N167" s="1216"/>
      <c r="O167" s="1216"/>
      <c r="P167" s="1216"/>
      <c r="Q167" s="1216"/>
      <c r="R167" s="1692"/>
      <c r="S167" s="1216"/>
      <c r="T167" s="1216"/>
      <c r="U167" s="600"/>
      <c r="V167" s="1216"/>
      <c r="W167" s="1216"/>
      <c r="X167" s="1216"/>
      <c r="Y167" s="1216"/>
      <c r="Z167" s="1216"/>
      <c r="AA167" s="1688"/>
      <c r="AB167" s="622"/>
      <c r="AC167" s="622"/>
      <c r="AD167" s="622"/>
      <c r="AE167" s="622"/>
      <c r="AF167" s="1697">
        <v>11</v>
      </c>
    </row>
    <row s="3442" customFormat="1" customHeight="1" ht="11.549999999999999">
      <c r="A168" s="1043"/>
      <c r="B168" s="1692"/>
      <c r="C168" s="1692"/>
      <c r="D168" s="407"/>
      <c r="K168" s="1216"/>
      <c r="L168" s="1692"/>
      <c r="M168" s="1692"/>
      <c r="N168" s="1216"/>
      <c r="O168" s="1216"/>
      <c r="P168" s="1216"/>
      <c r="Q168" s="1216"/>
      <c r="R168" s="1692"/>
      <c r="S168" s="1216"/>
      <c r="T168" s="1216"/>
      <c r="U168" s="600"/>
      <c r="V168" s="1216"/>
      <c r="W168" s="1216"/>
      <c r="X168" s="1216"/>
      <c r="Y168" s="1216"/>
      <c r="Z168" s="1216"/>
      <c r="AA168" s="1688"/>
      <c r="AB168" s="622"/>
      <c r="AC168" s="622"/>
      <c r="AD168" s="622"/>
      <c r="AE168" s="622"/>
      <c r="AF168" s="1697">
        <v>11</v>
      </c>
    </row>
    <row s="3442" customFormat="1" customHeight="1" ht="11.549999999999999">
      <c r="A169" s="1043"/>
      <c r="B169" s="1692"/>
      <c r="C169" s="1692"/>
      <c r="D169" s="407"/>
      <c r="K169" s="1216"/>
      <c r="L169" s="1692"/>
      <c r="M169" s="1692"/>
      <c r="N169" s="1216"/>
      <c r="O169" s="1216"/>
      <c r="P169" s="1216"/>
      <c r="Q169" s="1216"/>
      <c r="R169" s="1692"/>
      <c r="S169" s="1216"/>
      <c r="T169" s="1216"/>
      <c r="U169" s="600"/>
      <c r="V169" s="1216"/>
      <c r="W169" s="1216"/>
      <c r="X169" s="1216"/>
      <c r="Y169" s="1216"/>
      <c r="Z169" s="1216"/>
      <c r="AA169" s="1688"/>
      <c r="AB169" s="622"/>
      <c r="AC169" s="622"/>
      <c r="AD169" s="622"/>
      <c r="AE169" s="622"/>
      <c r="AF169" s="1697">
        <v>11</v>
      </c>
    </row>
    <row s="3442" customFormat="1" customHeight="1" ht="11.549999999999999">
      <c r="A170" s="1043"/>
      <c r="B170" s="1692"/>
      <c r="C170" s="1692"/>
      <c r="D170" s="407"/>
      <c r="K170" s="1216"/>
      <c r="L170" s="1692"/>
      <c r="M170" s="1692"/>
      <c r="N170" s="1216"/>
      <c r="O170" s="1216"/>
      <c r="P170" s="1216"/>
      <c r="Q170" s="1216"/>
      <c r="R170" s="1692"/>
      <c r="S170" s="1216"/>
      <c r="T170" s="1216"/>
      <c r="U170" s="600"/>
      <c r="V170" s="1216"/>
      <c r="W170" s="1216"/>
      <c r="X170" s="1216"/>
      <c r="Y170" s="1216"/>
      <c r="Z170" s="1216"/>
      <c r="AA170" s="1688"/>
      <c r="AB170" s="622"/>
      <c r="AC170" s="622"/>
      <c r="AD170" s="622"/>
      <c r="AE170" s="622"/>
      <c r="AF170" s="1697">
        <v>11</v>
      </c>
    </row>
    <row s="3442" customFormat="1" customHeight="1" ht="11.549999999999999">
      <c r="A171" s="1043"/>
      <c r="B171" s="1692"/>
      <c r="C171" s="1692"/>
      <c r="D171" s="407"/>
      <c r="K171" s="1216"/>
      <c r="L171" s="1692"/>
      <c r="M171" s="1692"/>
      <c r="N171" s="1216"/>
      <c r="O171" s="1216"/>
      <c r="P171" s="1216"/>
      <c r="Q171" s="1216"/>
      <c r="R171" s="1692"/>
      <c r="S171" s="1216"/>
      <c r="T171" s="1216"/>
      <c r="U171" s="600"/>
      <c r="V171" s="1216"/>
      <c r="W171" s="1216"/>
      <c r="X171" s="1216"/>
      <c r="Y171" s="1216"/>
      <c r="Z171" s="1216"/>
      <c r="AA171" s="1688"/>
      <c r="AB171" s="622"/>
      <c r="AC171" s="622"/>
      <c r="AD171" s="622"/>
      <c r="AE171" s="622"/>
      <c r="AF171" s="1697">
        <v>11</v>
      </c>
    </row>
    <row s="3442" customFormat="1" customHeight="1" ht="11.549999999999999">
      <c r="A172" s="1043"/>
      <c r="B172" s="1692"/>
      <c r="C172" s="1692"/>
      <c r="D172" s="407"/>
      <c r="K172" s="1216"/>
      <c r="L172" s="1692"/>
      <c r="M172" s="1692"/>
      <c r="N172" s="1216"/>
      <c r="O172" s="1216"/>
      <c r="P172" s="1216"/>
      <c r="Q172" s="1216"/>
      <c r="R172" s="1692"/>
      <c r="S172" s="1216"/>
      <c r="T172" s="1216"/>
      <c r="U172" s="600"/>
      <c r="V172" s="1216"/>
      <c r="W172" s="1216"/>
      <c r="X172" s="1216"/>
      <c r="Y172" s="1216"/>
      <c r="Z172" s="1216"/>
      <c r="AA172" s="1688"/>
      <c r="AB172" s="622"/>
      <c r="AC172" s="622"/>
      <c r="AD172" s="622"/>
      <c r="AE172" s="622"/>
      <c r="AF172" s="1697">
        <v>11</v>
      </c>
    </row>
    <row s="3442" customFormat="1" customHeight="1" ht="11.549999999999999">
      <c r="A173" s="1043"/>
      <c r="B173" s="1692"/>
      <c r="C173" s="1692"/>
      <c r="D173" s="407"/>
      <c r="K173" s="1216"/>
      <c r="L173" s="1692"/>
      <c r="M173" s="1692"/>
      <c r="N173" s="1216"/>
      <c r="O173" s="1216"/>
      <c r="P173" s="1216"/>
      <c r="Q173" s="1216"/>
      <c r="R173" s="1692"/>
      <c r="S173" s="1216"/>
      <c r="T173" s="1216"/>
      <c r="U173" s="600"/>
      <c r="V173" s="1216"/>
      <c r="W173" s="1216"/>
      <c r="X173" s="1216"/>
      <c r="Y173" s="1216"/>
      <c r="Z173" s="1216"/>
      <c r="AA173" s="1688"/>
      <c r="AB173" s="622"/>
      <c r="AC173" s="622"/>
      <c r="AD173" s="622"/>
      <c r="AE173" s="622"/>
      <c r="AF173" s="1697">
        <v>11</v>
      </c>
    </row>
    <row s="3442" customFormat="1" customHeight="1" ht="11.549999999999999">
      <c r="A174" s="1043"/>
      <c r="B174" s="1692"/>
      <c r="C174" s="1692"/>
      <c r="D174" s="407"/>
      <c r="K174" s="1216"/>
      <c r="L174" s="1692"/>
      <c r="M174" s="1692"/>
      <c r="N174" s="1216"/>
      <c r="O174" s="1216"/>
      <c r="P174" s="1216"/>
      <c r="Q174" s="1216"/>
      <c r="R174" s="1692"/>
      <c r="S174" s="1216"/>
      <c r="T174" s="1216"/>
      <c r="U174" s="600"/>
      <c r="V174" s="1216"/>
      <c r="W174" s="1216"/>
      <c r="X174" s="1216"/>
      <c r="Y174" s="1216"/>
      <c r="Z174" s="1216"/>
      <c r="AA174" s="1688"/>
      <c r="AB174" s="622"/>
      <c r="AC174" s="622"/>
      <c r="AD174" s="622"/>
      <c r="AE174" s="622"/>
      <c r="AF174" s="1697">
        <v>11</v>
      </c>
    </row>
    <row s="3442" customFormat="1" customHeight="1" ht="11.549999999999999">
      <c r="A175" s="1043"/>
      <c r="B175" s="1692"/>
      <c r="C175" s="1692"/>
      <c r="D175" s="407"/>
      <c r="K175" s="1216"/>
      <c r="L175" s="1692"/>
      <c r="M175" s="1692"/>
      <c r="N175" s="1216"/>
      <c r="O175" s="1216"/>
      <c r="P175" s="1216"/>
      <c r="Q175" s="1216"/>
      <c r="R175" s="1692"/>
      <c r="S175" s="1216"/>
      <c r="T175" s="1216"/>
      <c r="U175" s="600"/>
      <c r="V175" s="1216"/>
      <c r="W175" s="1216"/>
      <c r="X175" s="1216"/>
      <c r="Y175" s="1216"/>
      <c r="Z175" s="1216"/>
      <c r="AA175" s="1688"/>
      <c r="AB175" s="622"/>
      <c r="AC175" s="622"/>
      <c r="AD175" s="622"/>
      <c r="AE175" s="622"/>
      <c r="AF175" s="1697">
        <v>11</v>
      </c>
    </row>
    <row s="3442" customFormat="1" customHeight="1" ht="11.549999999999999">
      <c r="A176" s="1043"/>
      <c r="B176" s="1692"/>
      <c r="C176" s="1692"/>
      <c r="D176" s="407"/>
      <c r="K176" s="1216"/>
      <c r="L176" s="1692"/>
      <c r="M176" s="1692"/>
      <c r="N176" s="1216"/>
      <c r="O176" s="1216"/>
      <c r="P176" s="1216"/>
      <c r="Q176" s="1216"/>
      <c r="R176" s="1692"/>
      <c r="S176" s="1216"/>
      <c r="T176" s="1216"/>
      <c r="U176" s="600"/>
      <c r="V176" s="1216"/>
      <c r="W176" s="1216"/>
      <c r="X176" s="1216"/>
      <c r="Y176" s="1216"/>
      <c r="Z176" s="1216"/>
      <c r="AA176" s="1688"/>
      <c r="AB176" s="622"/>
      <c r="AC176" s="622"/>
      <c r="AD176" s="622"/>
      <c r="AE176" s="622"/>
      <c r="AF176" s="1697">
        <v>11</v>
      </c>
    </row>
    <row s="3442" customFormat="1" customHeight="1" ht="11.549999999999999">
      <c r="A177" s="1043"/>
      <c r="B177" s="1692"/>
      <c r="C177" s="1692"/>
      <c r="D177" s="407"/>
      <c r="K177" s="1216"/>
      <c r="L177" s="1692"/>
      <c r="M177" s="1692"/>
      <c r="N177" s="1216"/>
      <c r="O177" s="1216"/>
      <c r="P177" s="1216"/>
      <c r="Q177" s="1216"/>
      <c r="R177" s="1692"/>
      <c r="S177" s="1216"/>
      <c r="T177" s="1216"/>
      <c r="U177" s="600"/>
      <c r="V177" s="1216"/>
      <c r="W177" s="1216"/>
      <c r="X177" s="1216"/>
      <c r="Y177" s="1216"/>
      <c r="Z177" s="1216"/>
      <c r="AA177" s="1688"/>
      <c r="AB177" s="622"/>
      <c r="AC177" s="622"/>
      <c r="AD177" s="622"/>
      <c r="AE177" s="622"/>
      <c r="AF177" s="1697">
        <v>11</v>
      </c>
    </row>
    <row s="3442" customFormat="1" customHeight="1" ht="11.549999999999999">
      <c r="A178" s="1043"/>
      <c r="B178" s="1692"/>
      <c r="C178" s="1692"/>
      <c r="D178" s="407"/>
      <c r="K178" s="1216"/>
      <c r="L178" s="1692"/>
      <c r="M178" s="1692"/>
      <c r="N178" s="1216"/>
      <c r="O178" s="1216"/>
      <c r="P178" s="1216"/>
      <c r="Q178" s="1216"/>
      <c r="R178" s="1692"/>
      <c r="S178" s="1216"/>
      <c r="T178" s="1216"/>
      <c r="U178" s="600"/>
      <c r="V178" s="1216"/>
      <c r="W178" s="1216"/>
      <c r="X178" s="1216"/>
      <c r="Y178" s="1216"/>
      <c r="Z178" s="1216"/>
      <c r="AA178" s="1688"/>
      <c r="AB178" s="622"/>
      <c r="AC178" s="622"/>
      <c r="AD178" s="622"/>
      <c r="AE178" s="622"/>
      <c r="AF178" s="1697">
        <v>11</v>
      </c>
    </row>
    <row s="3442" customFormat="1" customHeight="1" ht="11.549999999999999">
      <c r="A179" s="1043"/>
      <c r="B179" s="1692"/>
      <c r="C179" s="1692"/>
      <c r="D179" s="407"/>
      <c r="K179" s="1216"/>
      <c r="L179" s="1692"/>
      <c r="M179" s="1692"/>
      <c r="N179" s="1216"/>
      <c r="O179" s="1216"/>
      <c r="P179" s="1216"/>
      <c r="Q179" s="1216"/>
      <c r="R179" s="1692"/>
      <c r="S179" s="1216"/>
      <c r="T179" s="1216"/>
      <c r="U179" s="600"/>
      <c r="V179" s="1216"/>
      <c r="W179" s="1216"/>
      <c r="X179" s="1216"/>
      <c r="Y179" s="1216"/>
      <c r="Z179" s="1216"/>
      <c r="AA179" s="1688"/>
      <c r="AB179" s="622"/>
      <c r="AC179" s="622"/>
      <c r="AD179" s="622"/>
      <c r="AE179" s="622"/>
      <c r="AF179" s="1697">
        <v>11</v>
      </c>
    </row>
    <row s="3442" customFormat="1" customHeight="1" ht="11.549999999999999">
      <c r="A180" s="1043"/>
      <c r="B180" s="1692"/>
      <c r="C180" s="1692"/>
      <c r="D180" s="407"/>
      <c r="K180" s="1216"/>
      <c r="L180" s="1692"/>
      <c r="M180" s="1692"/>
      <c r="N180" s="1216"/>
      <c r="O180" s="1216"/>
      <c r="P180" s="1216"/>
      <c r="Q180" s="1216"/>
      <c r="R180" s="1692"/>
      <c r="S180" s="1216"/>
      <c r="T180" s="1216"/>
      <c r="U180" s="600"/>
      <c r="V180" s="1216"/>
      <c r="W180" s="1216"/>
      <c r="X180" s="1216"/>
      <c r="Y180" s="1216"/>
      <c r="Z180" s="1216"/>
      <c r="AA180" s="1688"/>
      <c r="AB180" s="622"/>
      <c r="AC180" s="622"/>
      <c r="AD180" s="622"/>
      <c r="AE180" s="622"/>
      <c r="AF180" s="1697">
        <v>11</v>
      </c>
    </row>
    <row s="3442" customFormat="1" customHeight="1" ht="11.549999999999999">
      <c r="A181" s="1043"/>
      <c r="B181" s="1692"/>
      <c r="C181" s="1692"/>
      <c r="D181" s="407"/>
      <c r="K181" s="1216"/>
      <c r="L181" s="1692"/>
      <c r="M181" s="1692"/>
      <c r="N181" s="1216"/>
      <c r="O181" s="1216"/>
      <c r="P181" s="1216"/>
      <c r="Q181" s="1216"/>
      <c r="R181" s="1692"/>
      <c r="S181" s="1216"/>
      <c r="T181" s="1216"/>
      <c r="U181" s="600"/>
      <c r="V181" s="1216"/>
      <c r="W181" s="1216"/>
      <c r="X181" s="1216"/>
      <c r="Y181" s="1216"/>
      <c r="Z181" s="1216"/>
      <c r="AA181" s="1688"/>
      <c r="AB181" s="622"/>
      <c r="AC181" s="622"/>
      <c r="AD181" s="622"/>
      <c r="AE181" s="622"/>
      <c r="AF181" s="1697">
        <v>11</v>
      </c>
    </row>
    <row s="3442" customFormat="1" customHeight="1" ht="11.549999999999999">
      <c r="A182" s="1043"/>
      <c r="B182" s="1692"/>
      <c r="C182" s="1692"/>
      <c r="D182" s="407"/>
      <c r="K182" s="1216"/>
      <c r="L182" s="1692"/>
      <c r="M182" s="1692"/>
      <c r="N182" s="1216"/>
      <c r="O182" s="1216"/>
      <c r="P182" s="1216"/>
      <c r="Q182" s="1216"/>
      <c r="R182" s="1692"/>
      <c r="S182" s="1216"/>
      <c r="T182" s="1216"/>
      <c r="U182" s="600"/>
      <c r="V182" s="1216"/>
      <c r="W182" s="1216"/>
      <c r="X182" s="1216"/>
      <c r="Y182" s="1216"/>
      <c r="Z182" s="1216"/>
      <c r="AA182" s="1688"/>
      <c r="AB182" s="622"/>
      <c r="AC182" s="622"/>
      <c r="AD182" s="622"/>
      <c r="AE182" s="622"/>
      <c r="AF182" s="1697">
        <v>11</v>
      </c>
    </row>
    <row s="3442" customFormat="1" customHeight="1" ht="11.549999999999999">
      <c r="A183" s="1043"/>
      <c r="B183" s="1692"/>
      <c r="C183" s="1692"/>
      <c r="D183" s="407"/>
      <c r="K183" s="1216"/>
      <c r="L183" s="1692"/>
      <c r="M183" s="1692"/>
      <c r="N183" s="1216"/>
      <c r="O183" s="1216"/>
      <c r="P183" s="1216"/>
      <c r="Q183" s="1216"/>
      <c r="R183" s="1692"/>
      <c r="S183" s="1216"/>
      <c r="T183" s="1216"/>
      <c r="U183" s="600"/>
      <c r="V183" s="1216"/>
      <c r="W183" s="1216"/>
      <c r="X183" s="1216"/>
      <c r="Y183" s="1216"/>
      <c r="Z183" s="1216"/>
      <c r="AA183" s="1688"/>
      <c r="AB183" s="622"/>
      <c r="AC183" s="622"/>
      <c r="AD183" s="622"/>
      <c r="AE183" s="622"/>
      <c r="AF183" s="1697">
        <v>11</v>
      </c>
    </row>
    <row s="3442" customFormat="1" customHeight="1" ht="11.549999999999999">
      <c r="A184" s="1043"/>
      <c r="B184" s="1692"/>
      <c r="C184" s="1692"/>
      <c r="D184" s="407"/>
      <c r="K184" s="1216"/>
      <c r="L184" s="1692"/>
      <c r="M184" s="1692"/>
      <c r="N184" s="1216"/>
      <c r="O184" s="1216"/>
      <c r="P184" s="1216"/>
      <c r="Q184" s="1216"/>
      <c r="R184" s="1692"/>
      <c r="S184" s="1216"/>
      <c r="T184" s="1216"/>
      <c r="U184" s="600"/>
      <c r="V184" s="1216"/>
      <c r="W184" s="1216"/>
      <c r="X184" s="1216"/>
      <c r="Y184" s="1216"/>
      <c r="Z184" s="1216"/>
      <c r="AA184" s="1688"/>
      <c r="AB184" s="622"/>
      <c r="AC184" s="622"/>
      <c r="AD184" s="622"/>
      <c r="AE184" s="622"/>
      <c r="AF184" s="1697">
        <v>11</v>
      </c>
    </row>
    <row s="3442" customFormat="1" customHeight="1" ht="11.549999999999999">
      <c r="A185" s="1043"/>
      <c r="B185" s="1692"/>
      <c r="C185" s="1692"/>
      <c r="D185" s="407"/>
      <c r="K185" s="1216"/>
      <c r="L185" s="1692"/>
      <c r="M185" s="1692"/>
      <c r="N185" s="1216"/>
      <c r="O185" s="1216"/>
      <c r="P185" s="1216"/>
      <c r="Q185" s="1216"/>
      <c r="R185" s="1692"/>
      <c r="S185" s="1216"/>
      <c r="T185" s="1216"/>
      <c r="U185" s="600"/>
      <c r="V185" s="1216"/>
      <c r="W185" s="1216"/>
      <c r="X185" s="1216"/>
      <c r="Y185" s="1216"/>
      <c r="Z185" s="1216"/>
      <c r="AA185" s="1688"/>
      <c r="AB185" s="622"/>
      <c r="AC185" s="622"/>
      <c r="AD185" s="622"/>
      <c r="AE185" s="622"/>
      <c r="AF185" s="1697">
        <v>11</v>
      </c>
    </row>
    <row s="3442" customFormat="1" customHeight="1" ht="11.549999999999999">
      <c r="A186" s="1043"/>
      <c r="B186" s="1692"/>
      <c r="C186" s="1692"/>
      <c r="D186" s="407"/>
      <c r="K186" s="1216"/>
      <c r="L186" s="1692"/>
      <c r="M186" s="1692"/>
      <c r="N186" s="1216"/>
      <c r="O186" s="1216"/>
      <c r="P186" s="1216"/>
      <c r="Q186" s="1216"/>
      <c r="R186" s="1692"/>
      <c r="S186" s="1216"/>
      <c r="T186" s="1216"/>
      <c r="U186" s="600"/>
      <c r="V186" s="1216"/>
      <c r="W186" s="1216"/>
      <c r="X186" s="1216"/>
      <c r="Y186" s="1216"/>
      <c r="Z186" s="1216"/>
      <c r="AA186" s="1688"/>
      <c r="AB186" s="622"/>
      <c r="AC186" s="622"/>
      <c r="AD186" s="622"/>
      <c r="AE186" s="622"/>
      <c r="AF186" s="1697">
        <v>11</v>
      </c>
    </row>
    <row s="3442" customFormat="1" customHeight="1" ht="11.549999999999999">
      <c r="A187" s="1043"/>
      <c r="B187" s="1692"/>
      <c r="C187" s="1692"/>
      <c r="D187" s="407"/>
      <c r="K187" s="1216"/>
      <c r="L187" s="1692"/>
      <c r="M187" s="1692"/>
      <c r="N187" s="1216"/>
      <c r="O187" s="1216"/>
      <c r="P187" s="1216"/>
      <c r="Q187" s="1216"/>
      <c r="R187" s="1692"/>
      <c r="S187" s="1216"/>
      <c r="T187" s="1216"/>
      <c r="U187" s="600"/>
      <c r="V187" s="1216"/>
      <c r="W187" s="1216"/>
      <c r="X187" s="1216"/>
      <c r="Y187" s="1216"/>
      <c r="Z187" s="1216"/>
      <c r="AA187" s="1688"/>
      <c r="AB187" s="622"/>
      <c r="AC187" s="622"/>
      <c r="AD187" s="622"/>
      <c r="AE187" s="622"/>
      <c r="AF187" s="1697">
        <v>11</v>
      </c>
    </row>
    <row s="3442" customFormat="1" customHeight="1" ht="11.549999999999999">
      <c r="A188" s="1043"/>
      <c r="B188" s="1692"/>
      <c r="C188" s="1692"/>
      <c r="D188" s="407"/>
      <c r="K188" s="1216"/>
      <c r="L188" s="1692"/>
      <c r="M188" s="1692"/>
      <c r="N188" s="1216"/>
      <c r="O188" s="1216"/>
      <c r="P188" s="1216"/>
      <c r="Q188" s="1216"/>
      <c r="R188" s="1692"/>
      <c r="S188" s="1216"/>
      <c r="T188" s="1216"/>
      <c r="U188" s="600"/>
      <c r="V188" s="1216"/>
      <c r="W188" s="1216"/>
      <c r="X188" s="1216"/>
      <c r="Y188" s="1216"/>
      <c r="Z188" s="1216"/>
      <c r="AA188" s="1688"/>
      <c r="AB188" s="622"/>
      <c r="AC188" s="622"/>
      <c r="AD188" s="622"/>
      <c r="AE188" s="622"/>
      <c r="AF188" s="1697">
        <v>11</v>
      </c>
    </row>
    <row s="3442" customFormat="1" customHeight="1" ht="11.549999999999999">
      <c r="A189" s="1043"/>
      <c r="B189" s="1692"/>
      <c r="C189" s="1692"/>
      <c r="D189" s="407"/>
      <c r="K189" s="1216"/>
      <c r="L189" s="1692"/>
      <c r="M189" s="1692"/>
      <c r="N189" s="1216"/>
      <c r="O189" s="1216"/>
      <c r="P189" s="1216"/>
      <c r="Q189" s="1216"/>
      <c r="R189" s="1692"/>
      <c r="S189" s="1216"/>
      <c r="T189" s="1216"/>
      <c r="U189" s="600"/>
      <c r="V189" s="1216"/>
      <c r="W189" s="1216"/>
      <c r="X189" s="1216"/>
      <c r="Y189" s="1216"/>
      <c r="Z189" s="1216"/>
      <c r="AA189" s="1688"/>
      <c r="AB189" s="622"/>
      <c r="AC189" s="622"/>
      <c r="AD189" s="622"/>
      <c r="AE189" s="622"/>
      <c r="AF189" s="1697">
        <v>11</v>
      </c>
    </row>
    <row s="3442" customFormat="1" customHeight="1" ht="11.549999999999999">
      <c r="A190" s="1043"/>
      <c r="B190" s="1692"/>
      <c r="C190" s="1692"/>
      <c r="D190" s="407"/>
      <c r="K190" s="1216"/>
      <c r="L190" s="1692"/>
      <c r="M190" s="1692"/>
      <c r="N190" s="1216"/>
      <c r="O190" s="1216"/>
      <c r="P190" s="1216"/>
      <c r="Q190" s="1216"/>
      <c r="R190" s="1692"/>
      <c r="S190" s="1216"/>
      <c r="T190" s="1216"/>
      <c r="U190" s="600"/>
      <c r="V190" s="1216"/>
      <c r="W190" s="1216"/>
      <c r="X190" s="1216"/>
      <c r="Y190" s="1216"/>
      <c r="Z190" s="1216"/>
      <c r="AA190" s="1688"/>
      <c r="AB190" s="622"/>
      <c r="AC190" s="622"/>
      <c r="AD190" s="622"/>
      <c r="AE190" s="622"/>
      <c r="AF190" s="1697">
        <v>11</v>
      </c>
    </row>
    <row s="3442" customFormat="1" customHeight="1" ht="11.549999999999999">
      <c r="A191" s="1043"/>
      <c r="B191" s="1692"/>
      <c r="C191" s="1692"/>
      <c r="D191" s="407"/>
      <c r="K191" s="1216"/>
      <c r="L191" s="1692"/>
      <c r="M191" s="1692"/>
      <c r="N191" s="1216"/>
      <c r="O191" s="1216"/>
      <c r="P191" s="1216"/>
      <c r="Q191" s="1216"/>
      <c r="R191" s="1692"/>
      <c r="S191" s="1216"/>
      <c r="T191" s="1216"/>
      <c r="U191" s="600"/>
      <c r="V191" s="1216"/>
      <c r="W191" s="1216"/>
      <c r="X191" s="1216"/>
      <c r="Y191" s="1216"/>
      <c r="Z191" s="1216"/>
      <c r="AA191" s="1688"/>
      <c r="AB191" s="622"/>
      <c r="AC191" s="622"/>
      <c r="AD191" s="622"/>
      <c r="AE191" s="622"/>
      <c r="AF191" s="1697">
        <v>11</v>
      </c>
    </row>
    <row s="3442" customFormat="1" customHeight="1" ht="11.549999999999999">
      <c r="A192" s="1043"/>
      <c r="B192" s="1692"/>
      <c r="C192" s="1692"/>
      <c r="D192" s="407"/>
      <c r="K192" s="1216"/>
      <c r="L192" s="1692"/>
      <c r="M192" s="1692"/>
      <c r="N192" s="1216"/>
      <c r="O192" s="1216"/>
      <c r="P192" s="1216"/>
      <c r="Q192" s="1216"/>
      <c r="R192" s="1692"/>
      <c r="S192" s="1216"/>
      <c r="T192" s="1216"/>
      <c r="U192" s="600"/>
      <c r="V192" s="1216"/>
      <c r="W192" s="1216"/>
      <c r="X192" s="1216"/>
      <c r="Y192" s="1216"/>
      <c r="Z192" s="1216"/>
      <c r="AA192" s="1688"/>
      <c r="AB192" s="622"/>
      <c r="AC192" s="622"/>
      <c r="AD192" s="622"/>
      <c r="AE192" s="622"/>
      <c r="AF192" s="1697">
        <v>11</v>
      </c>
    </row>
    <row s="3442" customFormat="1" customHeight="1" ht="11.549999999999999">
      <c r="A193" s="1043"/>
      <c r="B193" s="1692"/>
      <c r="C193" s="1692"/>
      <c r="D193" s="407"/>
      <c r="K193" s="1216"/>
      <c r="L193" s="1692"/>
      <c r="M193" s="1692"/>
      <c r="N193" s="1216"/>
      <c r="O193" s="1216"/>
      <c r="P193" s="1216"/>
      <c r="Q193" s="1216"/>
      <c r="R193" s="1692"/>
      <c r="S193" s="1216"/>
      <c r="T193" s="1216"/>
      <c r="U193" s="600"/>
      <c r="V193" s="1216"/>
      <c r="W193" s="1216"/>
      <c r="X193" s="1216"/>
      <c r="Y193" s="1216"/>
      <c r="Z193" s="1216"/>
      <c r="AA193" s="1688"/>
      <c r="AB193" s="622"/>
      <c r="AC193" s="622"/>
      <c r="AD193" s="622"/>
      <c r="AE193" s="622"/>
      <c r="AF193" s="1697">
        <v>11</v>
      </c>
    </row>
    <row s="3442" customFormat="1" customHeight="1" ht="11.549999999999999">
      <c r="A194" s="1043"/>
      <c r="B194" s="1692"/>
      <c r="C194" s="1692"/>
      <c r="D194" s="407"/>
      <c r="K194" s="1216"/>
      <c r="L194" s="1692"/>
      <c r="M194" s="1692"/>
      <c r="N194" s="1216"/>
      <c r="O194" s="1216"/>
      <c r="P194" s="1216"/>
      <c r="Q194" s="1216"/>
      <c r="R194" s="1692"/>
      <c r="S194" s="1216"/>
      <c r="T194" s="1216"/>
      <c r="U194" s="600"/>
      <c r="V194" s="1216"/>
      <c r="W194" s="1216"/>
      <c r="X194" s="1216"/>
      <c r="Y194" s="1216"/>
      <c r="Z194" s="1216"/>
      <c r="AA194" s="1688"/>
      <c r="AB194" s="622"/>
      <c r="AC194" s="622"/>
      <c r="AD194" s="622"/>
      <c r="AE194" s="622"/>
      <c r="AF194" s="1697">
        <v>11</v>
      </c>
    </row>
    <row s="3442" customFormat="1" customHeight="1" ht="11.549999999999999">
      <c r="A195" s="1043"/>
      <c r="B195" s="1692"/>
      <c r="C195" s="1692"/>
      <c r="D195" s="407"/>
      <c r="K195" s="1216"/>
      <c r="L195" s="1692"/>
      <c r="M195" s="1692"/>
      <c r="N195" s="1216"/>
      <c r="O195" s="1216"/>
      <c r="P195" s="1216"/>
      <c r="Q195" s="1216"/>
      <c r="R195" s="1692"/>
      <c r="S195" s="1216"/>
      <c r="T195" s="1216"/>
      <c r="U195" s="600"/>
      <c r="V195" s="1216"/>
      <c r="W195" s="1216"/>
      <c r="X195" s="1216"/>
      <c r="Y195" s="1216"/>
      <c r="Z195" s="1216"/>
      <c r="AA195" s="1688"/>
      <c r="AB195" s="622"/>
      <c r="AC195" s="622"/>
      <c r="AD195" s="622"/>
      <c r="AE195" s="622"/>
      <c r="AF195" s="1697">
        <v>11</v>
      </c>
    </row>
    <row s="3442" customFormat="1" customHeight="1" ht="11.549999999999999">
      <c r="A196" s="1043"/>
      <c r="B196" s="1692"/>
      <c r="C196" s="1692"/>
      <c r="D196" s="407"/>
      <c r="K196" s="1216"/>
      <c r="L196" s="1692"/>
      <c r="M196" s="1692"/>
      <c r="N196" s="1216"/>
      <c r="O196" s="1216"/>
      <c r="P196" s="1216"/>
      <c r="Q196" s="1216"/>
      <c r="R196" s="1692"/>
      <c r="S196" s="1216"/>
      <c r="T196" s="1216"/>
      <c r="U196" s="600"/>
      <c r="V196" s="1216"/>
      <c r="W196" s="1216"/>
      <c r="X196" s="1216"/>
      <c r="Y196" s="1216"/>
      <c r="Z196" s="1216"/>
      <c r="AA196" s="1688"/>
      <c r="AB196" s="622"/>
      <c r="AC196" s="622"/>
      <c r="AD196" s="622"/>
      <c r="AE196" s="622"/>
      <c r="AF196" s="1697">
        <v>11</v>
      </c>
    </row>
    <row s="3442" customFormat="1" customHeight="1" ht="11.549999999999999">
      <c r="A197" s="1043"/>
      <c r="B197" s="1692"/>
      <c r="C197" s="1692"/>
      <c r="D197" s="407"/>
      <c r="K197" s="1216"/>
      <c r="L197" s="1692"/>
      <c r="M197" s="1692"/>
      <c r="N197" s="1216"/>
      <c r="O197" s="1216"/>
      <c r="P197" s="1216"/>
      <c r="Q197" s="1216"/>
      <c r="R197" s="1692"/>
      <c r="S197" s="1216"/>
      <c r="T197" s="1216"/>
      <c r="U197" s="600"/>
      <c r="V197" s="1216"/>
      <c r="W197" s="1216"/>
      <c r="X197" s="1216"/>
      <c r="Y197" s="1216"/>
      <c r="Z197" s="1216"/>
      <c r="AA197" s="1688"/>
      <c r="AB197" s="622"/>
      <c r="AC197" s="622"/>
      <c r="AD197" s="622"/>
      <c r="AE197" s="622"/>
      <c r="AF197" s="1697">
        <v>11</v>
      </c>
    </row>
    <row s="3442" customFormat="1" customHeight="1" ht="11.549999999999999">
      <c r="A198" s="1043"/>
      <c r="B198" s="1692"/>
      <c r="C198" s="1692"/>
      <c r="D198" s="407"/>
      <c r="K198" s="1216"/>
      <c r="L198" s="1692"/>
      <c r="M198" s="1692"/>
      <c r="N198" s="1216"/>
      <c r="O198" s="1216"/>
      <c r="P198" s="1216"/>
      <c r="Q198" s="1216"/>
      <c r="R198" s="1692"/>
      <c r="S198" s="1216"/>
      <c r="T198" s="1216"/>
      <c r="U198" s="600"/>
      <c r="V198" s="1216"/>
      <c r="W198" s="1216"/>
      <c r="X198" s="1216"/>
      <c r="Y198" s="1216"/>
      <c r="Z198" s="1216"/>
      <c r="AA198" s="1688"/>
      <c r="AB198" s="622"/>
      <c r="AC198" s="622"/>
      <c r="AD198" s="622"/>
      <c r="AE198" s="622"/>
      <c r="AF198" s="1697">
        <v>11</v>
      </c>
    </row>
    <row s="3442" customFormat="1" customHeight="1" ht="11.549999999999999">
      <c r="A199" s="1043"/>
      <c r="B199" s="1692"/>
      <c r="C199" s="1692"/>
      <c r="D199" s="407"/>
      <c r="K199" s="1216"/>
      <c r="L199" s="1692"/>
      <c r="M199" s="1692"/>
      <c r="N199" s="1216"/>
      <c r="O199" s="1216"/>
      <c r="P199" s="1216"/>
      <c r="Q199" s="1216"/>
      <c r="R199" s="1692"/>
      <c r="S199" s="1216"/>
      <c r="T199" s="1216"/>
      <c r="U199" s="600"/>
      <c r="V199" s="1216"/>
      <c r="W199" s="1216"/>
      <c r="X199" s="1216"/>
      <c r="Y199" s="1216"/>
      <c r="Z199" s="1216"/>
      <c r="AA199" s="1688"/>
      <c r="AB199" s="622"/>
      <c r="AC199" s="622"/>
      <c r="AD199" s="622"/>
      <c r="AE199" s="622"/>
      <c r="AF199" s="1697">
        <v>11</v>
      </c>
    </row>
    <row s="3442" customFormat="1" customHeight="1" ht="11.549999999999999">
      <c r="A200" s="1043"/>
      <c r="B200" s="1692"/>
      <c r="C200" s="1692"/>
      <c r="D200" s="407"/>
      <c r="K200" s="1216"/>
      <c r="L200" s="1692"/>
      <c r="M200" s="1692"/>
      <c r="N200" s="1216"/>
      <c r="O200" s="1216"/>
      <c r="P200" s="1216"/>
      <c r="Q200" s="1216"/>
      <c r="R200" s="1692"/>
      <c r="S200" s="1216"/>
      <c r="T200" s="1216"/>
      <c r="U200" s="600"/>
      <c r="V200" s="1216"/>
      <c r="W200" s="1216"/>
      <c r="X200" s="1216"/>
      <c r="Y200" s="1216"/>
      <c r="Z200" s="1216"/>
      <c r="AA200" s="1688"/>
      <c r="AB200" s="622"/>
      <c r="AC200" s="622"/>
      <c r="AD200" s="622"/>
      <c r="AE200" s="622"/>
      <c r="AF200" s="1697">
        <v>11</v>
      </c>
    </row>
    <row s="3442" customFormat="1" customHeight="1" ht="11.549999999999999">
      <c r="A201" s="1043"/>
      <c r="B201" s="1692"/>
      <c r="C201" s="1692"/>
      <c r="D201" s="407"/>
      <c r="K201" s="1216"/>
      <c r="L201" s="1692"/>
      <c r="M201" s="1692"/>
      <c r="N201" s="1216"/>
      <c r="O201" s="1216"/>
      <c r="P201" s="1216"/>
      <c r="Q201" s="1216"/>
      <c r="R201" s="1692"/>
      <c r="S201" s="1216"/>
      <c r="T201" s="1216"/>
      <c r="U201" s="600"/>
      <c r="V201" s="1216"/>
      <c r="W201" s="1216"/>
      <c r="X201" s="1216"/>
      <c r="Y201" s="1216"/>
      <c r="Z201" s="1216"/>
      <c r="AA201" s="1688"/>
      <c r="AB201" s="622"/>
      <c r="AC201" s="622"/>
      <c r="AD201" s="622"/>
      <c r="AE201" s="622"/>
      <c r="AF201" s="1697">
        <v>11</v>
      </c>
    </row>
    <row s="3442" customFormat="1" customHeight="1" ht="11.549999999999999">
      <c r="A202" s="1043"/>
      <c r="B202" s="1692"/>
      <c r="C202" s="1692"/>
      <c r="D202" s="407"/>
      <c r="K202" s="1216"/>
      <c r="L202" s="1692"/>
      <c r="M202" s="1692"/>
      <c r="N202" s="1216"/>
      <c r="O202" s="1216"/>
      <c r="P202" s="1216"/>
      <c r="Q202" s="1216"/>
      <c r="R202" s="1692"/>
      <c r="S202" s="1216"/>
      <c r="T202" s="1216"/>
      <c r="U202" s="600"/>
      <c r="V202" s="1216"/>
      <c r="W202" s="1216"/>
      <c r="X202" s="1216"/>
      <c r="Y202" s="1216"/>
      <c r="Z202" s="1216"/>
      <c r="AA202" s="1688"/>
      <c r="AB202" s="622"/>
      <c r="AC202" s="622"/>
      <c r="AD202" s="622"/>
      <c r="AE202" s="622"/>
      <c r="AF202" s="1697">
        <v>11</v>
      </c>
    </row>
    <row customHeight="1" ht="11.549999999999999">
      <c r="AF203" s="1687">
        <v>11</v>
      </c>
    </row>
    <row customHeight="1" ht="11.549999999999999">
      <c r="AF204" s="1687">
        <v>11</v>
      </c>
    </row>
    <row customHeight="1" ht="11.549999999999999">
      <c r="AF205" s="1687">
        <v>11</v>
      </c>
    </row>
    <row customHeight="1" ht="11.549999999999999">
      <c r="A206" s="1046"/>
      <c r="B206" s="1687"/>
      <c r="D206" s="1687"/>
      <c r="K206" s="1687"/>
      <c r="N206" s="1687"/>
      <c r="O206" s="1687"/>
      <c r="P206" s="1687"/>
      <c r="Q206" s="1687"/>
      <c r="S206" s="1687"/>
      <c r="T206" s="1687"/>
      <c r="U206" s="1687"/>
      <c r="V206" s="1687"/>
      <c r="W206" s="1687"/>
      <c r="X206" s="1687"/>
      <c r="Y206" s="1687"/>
      <c r="Z206" s="1687"/>
      <c r="AA206" s="1687"/>
      <c r="AB206" s="1687"/>
      <c r="AC206" s="1687"/>
      <c r="AD206" s="1687"/>
      <c r="AE206" s="1687"/>
      <c r="AF206" s="1687">
        <v>11</v>
      </c>
    </row>
    <row customHeight="1" ht="11.549999999999999">
      <c r="A207" s="1046"/>
      <c r="B207" s="1687"/>
      <c r="D207" s="1687"/>
      <c r="K207" s="1687"/>
      <c r="N207" s="1687"/>
      <c r="O207" s="1687"/>
      <c r="P207" s="1687"/>
      <c r="Q207" s="1687"/>
      <c r="S207" s="1687"/>
      <c r="T207" s="1687"/>
      <c r="U207" s="1687"/>
      <c r="V207" s="1687"/>
      <c r="W207" s="1687"/>
      <c r="X207" s="1687"/>
      <c r="Y207" s="1687"/>
      <c r="Z207" s="1687"/>
      <c r="AA207" s="1687"/>
      <c r="AB207" s="1687"/>
      <c r="AC207" s="1687"/>
      <c r="AD207" s="1687"/>
      <c r="AE207" s="1687"/>
      <c r="AF207" s="1687">
        <v>11</v>
      </c>
    </row>
    <row customHeight="1" ht="11.549999999999999">
      <c r="A208" s="1046"/>
      <c r="B208" s="1687"/>
      <c r="D208" s="1687"/>
      <c r="K208" s="1687"/>
      <c r="N208" s="1687"/>
      <c r="O208" s="1687"/>
      <c r="P208" s="1687"/>
      <c r="Q208" s="1687"/>
      <c r="S208" s="1687"/>
      <c r="T208" s="1687"/>
      <c r="U208" s="1687"/>
      <c r="V208" s="1687"/>
      <c r="W208" s="1687"/>
      <c r="X208" s="1687"/>
      <c r="Y208" s="1687"/>
      <c r="Z208" s="1687"/>
      <c r="AA208" s="1687"/>
      <c r="AB208" s="1687"/>
      <c r="AC208" s="1687"/>
      <c r="AD208" s="1687"/>
      <c r="AE208" s="1687"/>
      <c r="AF208" s="1687">
        <v>11</v>
      </c>
    </row>
    <row customHeight="1" ht="11.549999999999999">
      <c r="A209" s="1046"/>
      <c r="B209" s="1687"/>
      <c r="D209" s="1687"/>
      <c r="K209" s="1687"/>
      <c r="N209" s="1687"/>
      <c r="O209" s="1687"/>
      <c r="P209" s="1687"/>
      <c r="Q209" s="1687"/>
      <c r="S209" s="1687"/>
      <c r="T209" s="1687"/>
      <c r="U209" s="1687"/>
      <c r="V209" s="1687"/>
      <c r="W209" s="1687"/>
      <c r="X209" s="1687"/>
      <c r="Y209" s="1687"/>
      <c r="Z209" s="1687"/>
      <c r="AA209" s="1687"/>
      <c r="AB209" s="1687"/>
      <c r="AC209" s="1687"/>
      <c r="AD209" s="1687"/>
      <c r="AE209" s="1687"/>
      <c r="AF209" s="1687">
        <v>11</v>
      </c>
    </row>
    <row customHeight="1" ht="11.549999999999999">
      <c r="A210" s="1046"/>
      <c r="B210" s="1687"/>
      <c r="D210" s="1687"/>
      <c r="K210" s="1687"/>
      <c r="N210" s="1687"/>
      <c r="O210" s="1687"/>
      <c r="P210" s="1687"/>
      <c r="Q210" s="1687"/>
      <c r="S210" s="1687"/>
      <c r="T210" s="1687"/>
      <c r="U210" s="1687"/>
      <c r="V210" s="1687"/>
      <c r="W210" s="1687"/>
      <c r="X210" s="1687"/>
      <c r="Y210" s="1687"/>
      <c r="Z210" s="1687"/>
      <c r="AA210" s="1687"/>
      <c r="AB210" s="1687"/>
      <c r="AC210" s="1687"/>
      <c r="AD210" s="1687"/>
      <c r="AE210" s="1687"/>
      <c r="AF210" s="1687">
        <v>11</v>
      </c>
    </row>
    <row customHeight="1" ht="11.549999999999999">
      <c r="A211" s="1046"/>
      <c r="B211" s="1687"/>
      <c r="D211" s="1687"/>
      <c r="K211" s="1687"/>
      <c r="N211" s="1687"/>
      <c r="O211" s="1687"/>
      <c r="P211" s="1687"/>
      <c r="Q211" s="1687"/>
      <c r="S211" s="1687"/>
      <c r="T211" s="1687"/>
      <c r="U211" s="1687"/>
      <c r="V211" s="1687"/>
      <c r="W211" s="1687"/>
      <c r="X211" s="1687"/>
      <c r="Y211" s="1687"/>
      <c r="Z211" s="1687"/>
      <c r="AA211" s="1687"/>
      <c r="AB211" s="1687"/>
      <c r="AC211" s="1687"/>
      <c r="AD211" s="1687"/>
      <c r="AE211" s="1687"/>
      <c r="AF211" s="1687">
        <v>11</v>
      </c>
    </row>
    <row customHeight="1" ht="11.549999999999999">
      <c r="A212" s="1046"/>
      <c r="B212" s="1687"/>
      <c r="D212" s="1687"/>
      <c r="K212" s="1687"/>
      <c r="N212" s="1687"/>
      <c r="O212" s="1687"/>
      <c r="P212" s="1687"/>
      <c r="Q212" s="1687"/>
      <c r="S212" s="1687"/>
      <c r="T212" s="1687"/>
      <c r="U212" s="1687"/>
      <c r="V212" s="1687"/>
      <c r="W212" s="1687"/>
      <c r="X212" s="1687"/>
      <c r="Y212" s="1687"/>
      <c r="Z212" s="1687"/>
      <c r="AA212" s="1687"/>
      <c r="AB212" s="1687"/>
      <c r="AC212" s="1687"/>
      <c r="AD212" s="1687"/>
      <c r="AE212" s="1687"/>
      <c r="AF212" s="1687">
        <v>11</v>
      </c>
    </row>
    <row customHeight="1" ht="11.549999999999999">
      <c r="A213" s="1046"/>
      <c r="B213" s="1687"/>
      <c r="D213" s="1687"/>
      <c r="K213" s="1687"/>
      <c r="N213" s="1687"/>
      <c r="O213" s="1687"/>
      <c r="P213" s="1687"/>
      <c r="Q213" s="1687"/>
      <c r="S213" s="1687"/>
      <c r="T213" s="1687"/>
      <c r="U213" s="1687"/>
      <c r="V213" s="1687"/>
      <c r="W213" s="1687"/>
      <c r="X213" s="1687"/>
      <c r="Y213" s="1687"/>
      <c r="Z213" s="1687"/>
      <c r="AA213" s="1687"/>
      <c r="AB213" s="1687"/>
      <c r="AC213" s="1687"/>
      <c r="AD213" s="1687"/>
      <c r="AE213" s="1687"/>
      <c r="AF213" s="1687">
        <v>11</v>
      </c>
    </row>
    <row customHeight="1" ht="11.549999999999999">
      <c r="A214" s="1046"/>
      <c r="B214" s="1687"/>
      <c r="D214" s="1687"/>
      <c r="K214" s="1687"/>
      <c r="N214" s="1687"/>
      <c r="O214" s="1687"/>
      <c r="P214" s="1687"/>
      <c r="Q214" s="1687"/>
      <c r="S214" s="1687"/>
      <c r="T214" s="1687"/>
      <c r="U214" s="1687"/>
      <c r="V214" s="1687"/>
      <c r="W214" s="1687"/>
      <c r="X214" s="1687"/>
      <c r="Y214" s="1687"/>
      <c r="Z214" s="1687"/>
      <c r="AA214" s="1687"/>
      <c r="AB214" s="1687"/>
      <c r="AC214" s="1687"/>
      <c r="AD214" s="1687"/>
      <c r="AE214" s="1687"/>
      <c r="AF214" s="1687">
        <v>11</v>
      </c>
    </row>
    <row customHeight="1" ht="11.549999999999999">
      <c r="A215" s="1046"/>
      <c r="B215" s="1687"/>
      <c r="D215" s="1687"/>
      <c r="K215" s="1687"/>
      <c r="N215" s="1687"/>
      <c r="O215" s="1687"/>
      <c r="P215" s="1687"/>
      <c r="Q215" s="1687"/>
      <c r="S215" s="1687"/>
      <c r="T215" s="1687"/>
      <c r="U215" s="1687"/>
      <c r="V215" s="1687"/>
      <c r="W215" s="1687"/>
      <c r="X215" s="1687"/>
      <c r="Y215" s="1687"/>
      <c r="Z215" s="1687"/>
      <c r="AA215" s="1687"/>
      <c r="AB215" s="1687"/>
      <c r="AC215" s="1687"/>
      <c r="AD215" s="1687"/>
      <c r="AE215" s="1687"/>
      <c r="AF215" s="1687">
        <v>11</v>
      </c>
    </row>
    <row customHeight="1" ht="11.549999999999999">
      <c r="A216" s="1046"/>
      <c r="B216" s="1687"/>
      <c r="D216" s="1687"/>
      <c r="K216" s="1687"/>
      <c r="N216" s="1687"/>
      <c r="O216" s="1687"/>
      <c r="P216" s="1687"/>
      <c r="Q216" s="1687"/>
      <c r="S216" s="1687"/>
      <c r="T216" s="1687"/>
      <c r="U216" s="1687"/>
      <c r="V216" s="1687"/>
      <c r="W216" s="1687"/>
      <c r="X216" s="1687"/>
      <c r="Y216" s="1687"/>
      <c r="Z216" s="1687"/>
      <c r="AA216" s="1687"/>
      <c r="AB216" s="1687"/>
      <c r="AC216" s="1687"/>
      <c r="AD216" s="1687"/>
      <c r="AE216" s="1687"/>
      <c r="AF216" s="1687">
        <v>11</v>
      </c>
    </row>
    <row customHeight="1" ht="11.25" hidden="1">
      <c r="A217" s="1043" t="s">
        <v>86</v>
      </c>
      <c r="B217" s="1216">
        <v>0</v>
      </c>
      <c r="C217" s="1692">
        <v>0</v>
      </c>
      <c r="D217" s="1691">
        <v>3</v>
      </c>
      <c r="E217" s="1687">
        <v>7</v>
      </c>
      <c r="F217" s="1687">
        <v>56</v>
      </c>
      <c r="G217" s="1687">
        <v>10</v>
      </c>
      <c r="H217" s="1687">
        <v>0</v>
      </c>
      <c r="I217" s="1687">
        <v>40</v>
      </c>
      <c r="J217" s="1687">
        <v>102</v>
      </c>
      <c r="K217" s="1216">
        <v>9</v>
      </c>
      <c r="L217" s="1692">
        <v>5</v>
      </c>
      <c r="M217" s="1692">
        <v>3</v>
      </c>
      <c r="N217" s="1216">
        <v>3</v>
      </c>
      <c r="O217" s="1216">
        <v>3</v>
      </c>
      <c r="P217" s="1216">
        <v>3</v>
      </c>
      <c r="Q217" s="1216">
        <v>3</v>
      </c>
      <c r="R217" s="1692">
        <v>10</v>
      </c>
      <c r="S217" s="1216">
        <v>34</v>
      </c>
      <c r="T217" s="1216">
        <v>9</v>
      </c>
      <c r="U217" s="600">
        <v>8</v>
      </c>
      <c r="V217" s="1216">
        <v>8</v>
      </c>
      <c r="W217" s="1216">
        <v>8</v>
      </c>
      <c r="X217" s="1216">
        <v>8</v>
      </c>
      <c r="Y217" s="1216">
        <v>8</v>
      </c>
      <c r="Z217" s="1216">
        <v>8</v>
      </c>
      <c r="AA217" s="1688">
        <v>8</v>
      </c>
      <c r="AB217" s="1688">
        <v>8</v>
      </c>
      <c r="AC217" s="1688">
        <v>8</v>
      </c>
      <c r="AD217" s="1688">
        <v>8</v>
      </c>
      <c r="AE217" s="1688">
        <v>8</v>
      </c>
      <c r="AF217" s="1687">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675A66-EB66-7E3E-EB89-3C058F2AF743}" mc:Ignorable="x14ac xr xr2 xr3">
  <sheetPr>
    <tabColor theme="9" tint="-0.25"/>
  </sheetPr>
  <dimension ref="A1:AF210"/>
  <sheetViews>
    <sheetView topLeftCell="A1" showGridLines="0" zoomScale="90" workbookViewId="0">
      <selection activeCell="A1" sqref="A1"/>
    </sheetView>
  </sheetViews>
  <sheetFormatPr defaultColWidth="9.140625" customHeight="1" defaultRowHeight="11.25"/>
  <cols>
    <col min="1" max="1" style="12353" width="10.7109375" hidden="1" customWidth="1"/>
    <col min="2" max="2" style="2850" width="16.8515625" hidden="1" customWidth="1"/>
    <col min="3" max="3" style="2851" width="5.57421875" hidden="1" customWidth="1"/>
    <col min="4" max="4" style="2774" width="3.00390625" customWidth="1"/>
    <col min="5" max="5" style="2774" width="7.00390625" customWidth="1"/>
    <col min="6" max="6" style="2774" width="54.00390625" customWidth="1"/>
    <col min="7" max="7" style="2774" width="10.00390625" customWidth="1"/>
    <col min="8" max="8" style="2774" width="40.7109375" hidden="1" customWidth="1"/>
    <col min="9" max="9" style="2774" width="40.00390625" customWidth="1"/>
    <col min="10" max="10" style="2774" width="102.00390625" customWidth="1"/>
    <col min="11" max="11" style="2850" width="9.00390625" customWidth="1"/>
    <col min="12" max="12" style="2851" width="5.00390625" customWidth="1"/>
    <col min="13" max="13" style="2851" width="3.00390625" customWidth="1"/>
    <col min="14" max="17" style="2850" width="3.00390625" customWidth="1"/>
    <col min="18" max="18" style="2851" width="10.00390625" customWidth="1"/>
    <col min="19" max="19" style="2850" width="34.00390625" customWidth="1"/>
    <col min="20" max="20" style="2850" width="9.00390625" customWidth="1"/>
    <col min="21" max="21" style="12423" width="8.00390625" customWidth="1"/>
    <col min="22" max="26" style="2850" width="8.00390625" customWidth="1"/>
    <col min="27" max="31" style="2738" width="8.00390625" customWidth="1"/>
    <col min="32" max="32" style="2774" width="9.140625" hidden="1"/>
  </cols>
  <sheetData>
    <row s="2850" customFormat="1" customHeight="1" ht="22.5" hidden="1">
      <c r="A1" s="1043"/>
      <c r="C1" s="1692"/>
      <c r="D1" s="593"/>
      <c r="H1" s="1216">
        <v>4</v>
      </c>
      <c r="I1" s="1216">
        <v>4</v>
      </c>
      <c r="L1" s="1692"/>
      <c r="M1" s="1692"/>
      <c r="R1" s="1692"/>
      <c r="AF1" s="1216" t="s">
        <v>14</v>
      </c>
    </row>
    <row s="2850" customFormat="1" customHeight="1" ht="22.5" hidden="1">
      <c r="A2" s="1043"/>
      <c r="C2" s="1692"/>
      <c r="D2" s="594"/>
      <c r="E2" s="1714"/>
      <c r="F2" s="596"/>
      <c r="G2" s="1713" t="s">
        <v>685</v>
      </c>
      <c r="H2" s="597"/>
      <c r="I2" s="597"/>
      <c r="J2" s="598" t="s">
        <v>688</v>
      </c>
      <c r="K2" s="599"/>
      <c r="L2" s="1692"/>
      <c r="M2" s="1692"/>
      <c r="R2" s="1692"/>
      <c r="U2" s="600"/>
      <c r="AA2" s="1688"/>
      <c r="AB2" s="1688"/>
      <c r="AC2" s="1688"/>
      <c r="AD2" s="1688"/>
      <c r="AE2" s="1688"/>
      <c r="AF2" s="1216">
        <v>0</v>
      </c>
    </row>
    <row customHeight="1" ht="11.25" hidden="1">
      <c r="AF3" s="1687">
        <v>0</v>
      </c>
    </row>
    <row s="2738" customFormat="1" customHeight="1" ht="11.25" hidden="1">
      <c r="A4" s="1043"/>
      <c r="B4" s="1216"/>
      <c r="C4" s="1692"/>
      <c r="D4" s="418"/>
      <c r="J4" s="1688">
        <v>4</v>
      </c>
      <c r="K4" s="1216"/>
      <c r="L4" s="1692"/>
      <c r="M4" s="1692"/>
      <c r="N4" s="1216"/>
      <c r="O4" s="1216"/>
      <c r="P4" s="1216"/>
      <c r="Q4" s="1216"/>
      <c r="R4" s="1692"/>
      <c r="S4" s="1216"/>
      <c r="T4" s="1216"/>
      <c r="U4" s="600"/>
      <c r="V4" s="1216"/>
      <c r="W4" s="1216"/>
      <c r="X4" s="1216"/>
      <c r="Y4" s="1216"/>
      <c r="Z4" s="1216"/>
      <c r="AF4" s="1688">
        <v>0</v>
      </c>
    </row>
    <row customHeight="1" ht="11.549999999999999">
      <c r="AF5" s="1687">
        <v>11</v>
      </c>
    </row>
    <row customHeight="1" ht="33.75">
      <c r="E6" s="2304" t="s">
        <v>907</v>
      </c>
      <c r="F6" s="2304"/>
      <c r="G6" s="2304"/>
      <c r="H6" s="2304"/>
      <c r="I6" s="2304"/>
      <c r="J6" s="612"/>
      <c r="AF6" s="1687">
        <v>32</v>
      </c>
    </row>
    <row customHeight="1" ht="25.2">
      <c r="E7" s="2305" t="str">
        <f>IF(org=0,"Не определено",org)</f>
        <v>МУП ЖКХ "Родник"</v>
      </c>
      <c r="F7" s="2305"/>
      <c r="G7" s="2305"/>
      <c r="H7" s="2305"/>
      <c r="I7" s="2305"/>
      <c r="AF7" s="1687">
        <v>24</v>
      </c>
    </row>
    <row customHeight="1" ht="11.549999999999999">
      <c r="E8" s="1191"/>
      <c r="F8" s="1191"/>
      <c r="G8" s="1191"/>
      <c r="H8" s="1191"/>
      <c r="I8" s="1191"/>
      <c r="AF8" s="1687">
        <v>11</v>
      </c>
    </row>
    <row s="2851" customFormat="1" customHeight="1" ht="1.05">
      <c r="A9" s="1223"/>
      <c r="D9" s="1698"/>
      <c r="H9" s="945"/>
      <c r="I9" s="945" t="s">
        <v>196</v>
      </c>
      <c r="AF9" s="1692">
        <v>1</v>
      </c>
    </row>
    <row customHeight="1" ht="11.549999999999999">
      <c r="E10" s="767"/>
      <c r="F10" s="2423" t="s">
        <v>187</v>
      </c>
      <c r="G10" s="2424"/>
      <c r="H10" s="1715" t="str">
        <f>IF(H9="","",INDEX(DIFFERENTIATION_UNMERGE_VD,MATCH(H9,DIFFERENTIATION_ID_DIFF,0)))</f>
        <v/>
      </c>
      <c r="I10" s="1715">
        <f>IF(I9="","",INDEX(DIFFERENTIATION_UNMERGE_VD,MATCH(I9,DIFFERENTIATION_ID_DIFF,0)))</f>
        <v>0</v>
      </c>
      <c r="J10" s="2183"/>
      <c r="AF10" s="1687">
        <v>11</v>
      </c>
    </row>
    <row customHeight="1" ht="11.549999999999999">
      <c r="E11" s="767"/>
      <c r="F11" s="2423" t="s">
        <v>697</v>
      </c>
      <c r="G11" s="2424"/>
      <c r="H11" s="1715" t="str">
        <f>IF(H9="","",INDEX(DIFFERENTIATION_UNMERGE_AREA,MATCH(H9,DIFFERENTIATION_ID_DIFF,0)))</f>
        <v/>
      </c>
      <c r="I11" s="1715" t="str">
        <f>IF(I9="","",INDEX(DIFFERENTIATION_UNMERGE_AREA,MATCH(I9,DIFFERENTIATION_ID_DIFF,0)))</f>
        <v/>
      </c>
      <c r="J11" s="2183"/>
      <c r="AF11" s="1687">
        <v>11</v>
      </c>
    </row>
    <row customHeight="1" ht="11.25" hidden="1">
      <c r="E12" s="1718"/>
      <c r="F12" s="2446" t="s">
        <v>698</v>
      </c>
      <c r="G12" s="2447"/>
      <c r="H12" s="1719" t="str">
        <f>IF(H9="","",INDEX(DIFFERENTIATION_UNMERGE_SYSTEM,MATCH(H9,DIFFERENTIATION_ID_DIFF,0)))</f>
        <v/>
      </c>
      <c r="I12" s="1719" t="str">
        <f>IF(I9="","",INDEX(DIFFERENTIATION_UNMERGE_SYSTEM,MATCH(I9,DIFFERENTIATION_ID_DIFF,0)))</f>
        <v>без дифференциации</v>
      </c>
      <c r="J12" s="2183"/>
      <c r="AF12" s="1687">
        <v>0</v>
      </c>
    </row>
    <row customHeight="1" ht="11.549999999999999">
      <c r="E13" s="2425" t="s">
        <v>432</v>
      </c>
      <c r="F13" s="2426"/>
      <c r="G13" s="2426"/>
      <c r="H13" s="1712"/>
      <c r="I13" s="1712"/>
      <c r="J13" s="2183"/>
      <c r="AF13" s="1687">
        <v>11</v>
      </c>
    </row>
    <row customHeight="1" ht="24">
      <c r="E14" s="1713" t="s">
        <v>92</v>
      </c>
      <c r="F14" s="1716" t="s">
        <v>434</v>
      </c>
      <c r="G14" s="1716" t="s">
        <v>699</v>
      </c>
      <c r="H14" s="1716" t="s">
        <v>435</v>
      </c>
      <c r="I14" s="1716" t="s">
        <v>435</v>
      </c>
      <c r="J14" s="2183"/>
      <c r="AF14" s="1687">
        <v>23</v>
      </c>
    </row>
    <row customHeight="1" ht="19.95">
      <c r="D15" s="1694"/>
      <c r="E15" s="1686" t="s">
        <v>191</v>
      </c>
      <c r="F15" s="763" t="s">
        <v>908</v>
      </c>
      <c r="G15" s="1713" t="s">
        <v>685</v>
      </c>
      <c r="H15" s="613"/>
      <c r="I15" s="613"/>
      <c r="J15" s="345" t="s">
        <v>909</v>
      </c>
      <c r="K15" s="599" t="s">
        <v>763</v>
      </c>
      <c r="AF15" s="1687">
        <v>19</v>
      </c>
    </row>
    <row customHeight="1" ht="24">
      <c r="D16" s="1694"/>
      <c r="E16" s="1686" t="s">
        <v>108</v>
      </c>
      <c r="F16" s="1721" t="s">
        <v>910</v>
      </c>
      <c r="G16" s="1713" t="s">
        <v>685</v>
      </c>
      <c r="H16" s="614">
        <f>SUM(H17,H20:H27)</f>
        <v>0</v>
      </c>
      <c r="I16" s="614">
        <f>SUM(I17,I20:I27)</f>
        <v>0</v>
      </c>
      <c r="J16" s="345" t="s">
        <v>911</v>
      </c>
      <c r="K16" s="599" t="s">
        <v>763</v>
      </c>
      <c r="AF16" s="1687">
        <v>23</v>
      </c>
    </row>
    <row customHeight="1" ht="35.699999999999996">
      <c r="D17" s="1694"/>
      <c r="E17" s="1720" t="s">
        <v>841</v>
      </c>
      <c r="F17" s="1723" t="s">
        <v>912</v>
      </c>
      <c r="G17" s="1710" t="s">
        <v>685</v>
      </c>
      <c r="H17" s="613"/>
      <c r="I17" s="613"/>
      <c r="J17" s="345" t="s">
        <v>913</v>
      </c>
      <c r="K17" s="599"/>
      <c r="AF17" s="1687">
        <v>34</v>
      </c>
    </row>
    <row customHeight="1" ht="19.95">
      <c r="D18" s="1694"/>
      <c r="E18" s="1720" t="s">
        <v>844</v>
      </c>
      <c r="F18" s="1724" t="s">
        <v>914</v>
      </c>
      <c r="G18" s="1710" t="s">
        <v>685</v>
      </c>
      <c r="H18" s="613"/>
      <c r="I18" s="613"/>
      <c r="J18" s="345"/>
      <c r="K18" s="599"/>
      <c r="AF18" s="1687">
        <v>19</v>
      </c>
    </row>
    <row customHeight="1" ht="24">
      <c r="D19" s="1694"/>
      <c r="E19" s="1720" t="s">
        <v>847</v>
      </c>
      <c r="F19" s="1724" t="s">
        <v>915</v>
      </c>
      <c r="G19" s="1710" t="s">
        <v>685</v>
      </c>
      <c r="H19" s="613"/>
      <c r="I19" s="613"/>
      <c r="J19" s="345"/>
      <c r="K19" s="599"/>
      <c r="AF19" s="1687">
        <v>23</v>
      </c>
    </row>
    <row customHeight="1" ht="35.699999999999996">
      <c r="D20" s="1694"/>
      <c r="E20" s="1720" t="s">
        <v>439</v>
      </c>
      <c r="F20" s="1723" t="s">
        <v>916</v>
      </c>
      <c r="G20" s="1710" t="s">
        <v>685</v>
      </c>
      <c r="H20" s="613"/>
      <c r="I20" s="613"/>
      <c r="J20" s="345"/>
      <c r="K20" s="599"/>
      <c r="AF20" s="1687">
        <v>34</v>
      </c>
    </row>
    <row customHeight="1" ht="48.29999999999999">
      <c r="D21" s="1694"/>
      <c r="E21" s="1720" t="s">
        <v>442</v>
      </c>
      <c r="F21" s="1723" t="s">
        <v>917</v>
      </c>
      <c r="G21" s="1710" t="s">
        <v>685</v>
      </c>
      <c r="H21" s="613"/>
      <c r="I21" s="613"/>
      <c r="J21" s="345"/>
      <c r="K21" s="599"/>
      <c r="AF21" s="1687">
        <v>46</v>
      </c>
    </row>
    <row customHeight="1" ht="60">
      <c r="D22" s="1694"/>
      <c r="E22" s="1720" t="s">
        <v>861</v>
      </c>
      <c r="F22" s="1723" t="s">
        <v>918</v>
      </c>
      <c r="G22" s="1710" t="s">
        <v>685</v>
      </c>
      <c r="H22" s="613"/>
      <c r="I22" s="613"/>
      <c r="J22" s="345"/>
      <c r="K22" s="599"/>
      <c r="AF22" s="1687">
        <v>57</v>
      </c>
    </row>
    <row customHeight="1" ht="35.699999999999996">
      <c r="D23" s="1694"/>
      <c r="E23" s="1720" t="s">
        <v>868</v>
      </c>
      <c r="F23" s="1723" t="s">
        <v>919</v>
      </c>
      <c r="G23" s="1710" t="s">
        <v>685</v>
      </c>
      <c r="H23" s="613"/>
      <c r="I23" s="613"/>
      <c r="J23" s="345"/>
      <c r="K23" s="599"/>
      <c r="AF23" s="1687">
        <v>34</v>
      </c>
    </row>
    <row customHeight="1" ht="35.699999999999996">
      <c r="D24" s="1694"/>
      <c r="E24" s="1720" t="s">
        <v>870</v>
      </c>
      <c r="F24" s="1723" t="s">
        <v>920</v>
      </c>
      <c r="G24" s="1710" t="s">
        <v>685</v>
      </c>
      <c r="H24" s="613"/>
      <c r="I24" s="613"/>
      <c r="J24" s="345"/>
      <c r="K24" s="599"/>
      <c r="AF24" s="1687">
        <v>34</v>
      </c>
    </row>
    <row customHeight="1" ht="24">
      <c r="D25" s="1694"/>
      <c r="E25" s="1720" t="s">
        <v>872</v>
      </c>
      <c r="F25" s="1723" t="s">
        <v>921</v>
      </c>
      <c r="G25" s="1710" t="s">
        <v>685</v>
      </c>
      <c r="H25" s="613"/>
      <c r="I25" s="613"/>
      <c r="J25" s="345"/>
      <c r="K25" s="599"/>
      <c r="AF25" s="1687">
        <v>23</v>
      </c>
    </row>
    <row customHeight="1" ht="76.5">
      <c r="D26" s="1694"/>
      <c r="E26" s="1720" t="s">
        <v>874</v>
      </c>
      <c r="F26" s="1723" t="s">
        <v>922</v>
      </c>
      <c r="G26" s="1710" t="s">
        <v>685</v>
      </c>
      <c r="H26" s="613"/>
      <c r="I26" s="613"/>
      <c r="J26" s="345"/>
      <c r="K26" s="599"/>
      <c r="AF26" s="1687">
        <v>73</v>
      </c>
    </row>
    <row s="2850" customFormat="1" customHeight="1" ht="35.699999999999996">
      <c r="A27" s="1043"/>
      <c r="C27" s="1692"/>
      <c r="D27" s="1694"/>
      <c r="E27" s="1685" t="s">
        <v>878</v>
      </c>
      <c r="F27" s="1684" t="s">
        <v>923</v>
      </c>
      <c r="G27" s="1711" t="s">
        <v>685</v>
      </c>
      <c r="H27" s="635">
        <f>SUM(H28:H29)</f>
        <v>0</v>
      </c>
      <c r="I27" s="635">
        <f>SUM(I28:I29)</f>
        <v>0</v>
      </c>
      <c r="J27" s="345" t="s">
        <v>876</v>
      </c>
      <c r="K27" s="599"/>
      <c r="L27" s="1692"/>
      <c r="M27" s="1692"/>
      <c r="R27" s="1692"/>
      <c r="U27" s="600"/>
      <c r="AA27" s="1688"/>
      <c r="AB27" s="1688"/>
      <c r="AC27" s="1688"/>
      <c r="AD27" s="1688"/>
      <c r="AE27" s="1688"/>
      <c r="AF27" s="1216">
        <v>34</v>
      </c>
    </row>
    <row s="2851" customFormat="1" customHeight="1" ht="1.05">
      <c r="A28" s="1223"/>
      <c r="D28" s="604"/>
      <c r="E28" s="858" t="str">
        <f>E27&amp;".0"</f>
        <v>2.9.0</v>
      </c>
      <c r="F28" s="1047"/>
      <c r="G28" s="607"/>
      <c r="H28" s="1048"/>
      <c r="I28" s="1048"/>
      <c r="J28" s="1049"/>
      <c r="AF28" s="1692">
        <v>1</v>
      </c>
    </row>
    <row s="2850" customFormat="1" customHeight="1" ht="19.95">
      <c r="A29" s="1043"/>
      <c r="C29" s="1692"/>
      <c r="D29" s="1689"/>
      <c r="E29" s="626"/>
      <c r="F29" s="1722" t="s">
        <v>710</v>
      </c>
      <c r="G29" s="628"/>
      <c r="H29" s="629"/>
      <c r="I29" s="629"/>
      <c r="J29" s="357" t="s">
        <v>877</v>
      </c>
      <c r="K29" s="599"/>
      <c r="L29" s="1692"/>
      <c r="M29" s="1692"/>
      <c r="R29" s="1692"/>
      <c r="U29" s="600"/>
      <c r="AA29" s="1688"/>
      <c r="AB29" s="1688"/>
      <c r="AC29" s="1688"/>
      <c r="AD29" s="1688"/>
      <c r="AE29" s="1688"/>
      <c r="AF29" s="1216">
        <v>19</v>
      </c>
    </row>
    <row s="2850" customFormat="1" customHeight="1" ht="24">
      <c r="A30" s="1043"/>
      <c r="C30" s="1692"/>
      <c r="D30" s="1694"/>
      <c r="E30" s="1720" t="s">
        <v>94</v>
      </c>
      <c r="F30" s="1717" t="s">
        <v>924</v>
      </c>
      <c r="G30" s="1710" t="s">
        <v>685</v>
      </c>
      <c r="H30" s="613"/>
      <c r="I30" s="613"/>
      <c r="J30" s="345"/>
      <c r="K30" s="599"/>
      <c r="L30" s="1692"/>
      <c r="M30" s="1692"/>
      <c r="R30" s="1692"/>
      <c r="U30" s="600"/>
      <c r="AA30" s="1688"/>
      <c r="AB30" s="1688"/>
      <c r="AC30" s="1688"/>
      <c r="AD30" s="1688"/>
      <c r="AE30" s="1688"/>
      <c r="AF30" s="1216">
        <v>23</v>
      </c>
    </row>
    <row s="2850" customFormat="1" customHeight="1" ht="35.699999999999996">
      <c r="A31" s="1043"/>
      <c r="C31" s="1692"/>
      <c r="D31" s="631"/>
      <c r="E31" s="1720" t="s">
        <v>95</v>
      </c>
      <c r="F31" s="1717" t="s">
        <v>925</v>
      </c>
      <c r="G31" s="1710" t="s">
        <v>685</v>
      </c>
      <c r="H31" s="613"/>
      <c r="I31" s="613"/>
      <c r="J31" s="345" t="s">
        <v>926</v>
      </c>
      <c r="K31" s="599"/>
      <c r="L31" s="1692"/>
      <c r="M31" s="1692"/>
      <c r="R31" s="1692"/>
      <c r="U31" s="600"/>
      <c r="AA31" s="1688"/>
      <c r="AB31" s="1688"/>
      <c r="AC31" s="1688"/>
      <c r="AD31" s="1688"/>
      <c r="AE31" s="1688"/>
      <c r="AF31" s="1216">
        <v>34</v>
      </c>
    </row>
    <row s="2850" customFormat="1" customHeight="1" ht="24">
      <c r="A32" s="1043"/>
      <c r="C32" s="1692"/>
      <c r="D32" s="1694"/>
      <c r="E32" s="1720" t="s">
        <v>886</v>
      </c>
      <c r="F32" s="746" t="s">
        <v>890</v>
      </c>
      <c r="G32" s="1710" t="s">
        <v>685</v>
      </c>
      <c r="H32" s="613"/>
      <c r="I32" s="613"/>
      <c r="J32" s="345" t="s">
        <v>927</v>
      </c>
      <c r="K32" s="599"/>
      <c r="L32" s="1692"/>
      <c r="M32" s="1692"/>
      <c r="R32" s="1692"/>
      <c r="U32" s="600"/>
      <c r="AA32" s="1688"/>
      <c r="AB32" s="1688"/>
      <c r="AC32" s="1688"/>
      <c r="AD32" s="1688"/>
      <c r="AE32" s="1688"/>
      <c r="AF32" s="1216">
        <v>23</v>
      </c>
    </row>
    <row s="2850" customFormat="1" customHeight="1" ht="24">
      <c r="A33" s="1043"/>
      <c r="C33" s="1692"/>
      <c r="D33" s="1694"/>
      <c r="E33" s="1720" t="s">
        <v>928</v>
      </c>
      <c r="F33" s="746" t="s">
        <v>929</v>
      </c>
      <c r="G33" s="1710" t="s">
        <v>685</v>
      </c>
      <c r="H33" s="613"/>
      <c r="I33" s="613"/>
      <c r="J33" s="345" t="s">
        <v>930</v>
      </c>
      <c r="K33" s="599"/>
      <c r="L33" s="1692"/>
      <c r="M33" s="1692"/>
      <c r="R33" s="1692"/>
      <c r="U33" s="600"/>
      <c r="AA33" s="1688"/>
      <c r="AB33" s="1688"/>
      <c r="AC33" s="1688"/>
      <c r="AD33" s="1688"/>
      <c r="AE33" s="1688"/>
      <c r="AF33" s="1216">
        <v>23</v>
      </c>
    </row>
    <row s="2850" customFormat="1" customHeight="1" ht="24">
      <c r="A34" s="1043"/>
      <c r="C34" s="1692"/>
      <c r="D34" s="1694"/>
      <c r="E34" s="1720" t="s">
        <v>931</v>
      </c>
      <c r="F34" s="746" t="s">
        <v>896</v>
      </c>
      <c r="G34" s="1710" t="s">
        <v>685</v>
      </c>
      <c r="H34" s="613"/>
      <c r="I34" s="613"/>
      <c r="J34" s="345" t="s">
        <v>932</v>
      </c>
      <c r="K34" s="599"/>
      <c r="L34" s="1692"/>
      <c r="M34" s="1692"/>
      <c r="R34" s="1692"/>
      <c r="U34" s="600"/>
      <c r="AA34" s="1688"/>
      <c r="AB34" s="1688"/>
      <c r="AC34" s="1688"/>
      <c r="AD34" s="1688"/>
      <c r="AE34" s="1688"/>
      <c r="AF34" s="1216">
        <v>23</v>
      </c>
    </row>
    <row s="2850" customFormat="1" customHeight="1" ht="35.699999999999996">
      <c r="A35" s="1043"/>
      <c r="C35" s="1692" t="s">
        <v>721</v>
      </c>
      <c r="D35" s="1694"/>
      <c r="E35" s="1720" t="s">
        <v>122</v>
      </c>
      <c r="F35" s="1717" t="s">
        <v>762</v>
      </c>
      <c r="G35" s="1713" t="s">
        <v>438</v>
      </c>
      <c r="H35" s="457"/>
      <c r="I35" s="457"/>
      <c r="J35" s="345" t="s">
        <v>933</v>
      </c>
      <c r="K35" s="599"/>
      <c r="L35" s="1692"/>
      <c r="M35" s="1692"/>
      <c r="R35" s="1692"/>
      <c r="U35" s="600"/>
      <c r="AA35" s="1688"/>
      <c r="AB35" s="1688"/>
      <c r="AC35" s="1688"/>
      <c r="AD35" s="1688"/>
      <c r="AE35" s="1688"/>
      <c r="AF35" s="1216">
        <v>34</v>
      </c>
    </row>
    <row s="2850" customFormat="1" customHeight="1" ht="35.699999999999996">
      <c r="A36" s="1043"/>
      <c r="C36" s="1692"/>
      <c r="D36" s="1694"/>
      <c r="E36" s="1720" t="s">
        <v>96</v>
      </c>
      <c r="F36" s="1717" t="s">
        <v>934</v>
      </c>
      <c r="G36" s="1710" t="s">
        <v>901</v>
      </c>
      <c r="H36" s="601"/>
      <c r="I36" s="601"/>
      <c r="J36" s="345" t="s">
        <v>902</v>
      </c>
      <c r="K36" s="599"/>
      <c r="L36" s="1692"/>
      <c r="M36" s="1692"/>
      <c r="R36" s="1692"/>
      <c r="U36" s="600"/>
      <c r="AA36" s="1688"/>
      <c r="AB36" s="1688"/>
      <c r="AC36" s="1688"/>
      <c r="AD36" s="1688"/>
      <c r="AE36" s="1688"/>
      <c r="AF36" s="1216">
        <v>34</v>
      </c>
    </row>
    <row s="2850" customFormat="1" customHeight="1" ht="24">
      <c r="A37" s="1043"/>
      <c r="C37" s="1692"/>
      <c r="D37" s="1694"/>
      <c r="E37" s="1720" t="s">
        <v>97</v>
      </c>
      <c r="F37" s="1717" t="s">
        <v>935</v>
      </c>
      <c r="G37" s="1710" t="s">
        <v>904</v>
      </c>
      <c r="H37" s="601"/>
      <c r="I37" s="601"/>
      <c r="J37" s="345" t="s">
        <v>905</v>
      </c>
      <c r="K37" s="599"/>
      <c r="L37" s="1692"/>
      <c r="M37" s="1692"/>
      <c r="R37" s="1692"/>
      <c r="U37" s="600"/>
      <c r="AA37" s="1688"/>
      <c r="AB37" s="1688"/>
      <c r="AC37" s="1688"/>
      <c r="AD37" s="1688"/>
      <c r="AE37" s="1688"/>
      <c r="AF37" s="1216">
        <v>23</v>
      </c>
    </row>
    <row customHeight="1" ht="11.549999999999999">
      <c r="D38" s="1694"/>
      <c r="AF38" s="1687">
        <v>11</v>
      </c>
    </row>
    <row customHeight="1" ht="27.299999999999997">
      <c r="D39" s="1694"/>
      <c r="E39" s="1309" t="s">
        <v>936</v>
      </c>
      <c r="F39" s="2341" t="s">
        <v>937</v>
      </c>
      <c r="G39" s="2341"/>
      <c r="H39" s="425"/>
      <c r="I39" s="425"/>
      <c r="J39" s="425"/>
      <c r="AF39" s="1687">
        <v>26</v>
      </c>
    </row>
    <row s="3442" customFormat="1" customHeight="1" ht="39.75">
      <c r="A40" s="1043"/>
      <c r="B40" s="1692"/>
      <c r="C40" s="1692"/>
      <c r="D40" s="407"/>
      <c r="F40" s="2341" t="s">
        <v>938</v>
      </c>
      <c r="G40" s="2341"/>
      <c r="H40" s="425"/>
      <c r="I40" s="425"/>
      <c r="J40" s="425"/>
      <c r="K40" s="1216"/>
      <c r="L40" s="1692"/>
      <c r="M40" s="1692"/>
      <c r="N40" s="1216"/>
      <c r="O40" s="1216"/>
      <c r="P40" s="1216"/>
      <c r="Q40" s="1216"/>
      <c r="R40" s="1692"/>
      <c r="S40" s="1216"/>
      <c r="T40" s="1216"/>
      <c r="U40" s="600"/>
      <c r="V40" s="1216"/>
      <c r="W40" s="1216"/>
      <c r="X40" s="1216"/>
      <c r="Y40" s="1216"/>
      <c r="Z40" s="1216"/>
      <c r="AA40" s="1688"/>
      <c r="AB40" s="622"/>
      <c r="AC40" s="622"/>
      <c r="AD40" s="622"/>
      <c r="AE40" s="622"/>
      <c r="AF40" s="1697">
        <v>38</v>
      </c>
    </row>
    <row s="3442" customFormat="1" customHeight="1" ht="11.549999999999999">
      <c r="A41" s="1043"/>
      <c r="B41" s="1692"/>
      <c r="C41" s="1692"/>
      <c r="D41" s="407"/>
      <c r="K41" s="1216"/>
      <c r="L41" s="1692"/>
      <c r="M41" s="1692"/>
      <c r="N41" s="1216"/>
      <c r="O41" s="1216"/>
      <c r="P41" s="1216"/>
      <c r="Q41" s="1216"/>
      <c r="R41" s="1692"/>
      <c r="S41" s="1216"/>
      <c r="T41" s="1216"/>
      <c r="U41" s="600"/>
      <c r="V41" s="1216"/>
      <c r="W41" s="1216"/>
      <c r="X41" s="1216"/>
      <c r="Y41" s="1216"/>
      <c r="Z41" s="1216"/>
      <c r="AA41" s="1688"/>
      <c r="AB41" s="622"/>
      <c r="AC41" s="622"/>
      <c r="AD41" s="622"/>
      <c r="AE41" s="622"/>
      <c r="AF41" s="1697">
        <v>11</v>
      </c>
    </row>
    <row s="3442" customFormat="1" customHeight="1" ht="11.549999999999999">
      <c r="A42" s="1043"/>
      <c r="B42" s="1692"/>
      <c r="C42" s="1692"/>
      <c r="D42" s="407"/>
      <c r="K42" s="1216"/>
      <c r="L42" s="1692"/>
      <c r="M42" s="1692"/>
      <c r="N42" s="1216"/>
      <c r="O42" s="1216"/>
      <c r="P42" s="1216"/>
      <c r="Q42" s="1216"/>
      <c r="R42" s="1692"/>
      <c r="S42" s="1216"/>
      <c r="T42" s="1216"/>
      <c r="U42" s="600"/>
      <c r="V42" s="1216"/>
      <c r="W42" s="1216"/>
      <c r="X42" s="1216"/>
      <c r="Y42" s="1216"/>
      <c r="Z42" s="1216"/>
      <c r="AA42" s="1688"/>
      <c r="AB42" s="622"/>
      <c r="AC42" s="622"/>
      <c r="AD42" s="622"/>
      <c r="AE42" s="622"/>
      <c r="AF42" s="1697">
        <v>11</v>
      </c>
    </row>
    <row s="3442" customFormat="1" customHeight="1" ht="11.549999999999999">
      <c r="A43" s="1043"/>
      <c r="B43" s="1692"/>
      <c r="C43" s="1692"/>
      <c r="D43" s="407"/>
      <c r="H43" s="622"/>
      <c r="I43" s="622"/>
      <c r="K43" s="1216"/>
      <c r="L43" s="1692"/>
      <c r="M43" s="1692"/>
      <c r="N43" s="1216"/>
      <c r="O43" s="1216"/>
      <c r="P43" s="1216"/>
      <c r="Q43" s="1216"/>
      <c r="R43" s="1692"/>
      <c r="S43" s="1216"/>
      <c r="T43" s="1216"/>
      <c r="U43" s="600"/>
      <c r="V43" s="1216"/>
      <c r="W43" s="1216"/>
      <c r="X43" s="1216"/>
      <c r="Y43" s="1216"/>
      <c r="Z43" s="1216"/>
      <c r="AA43" s="1688"/>
      <c r="AB43" s="622"/>
      <c r="AC43" s="622"/>
      <c r="AD43" s="622"/>
      <c r="AE43" s="622"/>
      <c r="AF43" s="1697">
        <v>11</v>
      </c>
    </row>
    <row s="3442" customFormat="1" customHeight="1" ht="11.549999999999999">
      <c r="A44" s="1043"/>
      <c r="B44" s="1692"/>
      <c r="C44" s="1692"/>
      <c r="D44" s="407"/>
      <c r="K44" s="1216"/>
      <c r="L44" s="1692"/>
      <c r="M44" s="1692"/>
      <c r="N44" s="1216"/>
      <c r="O44" s="1216"/>
      <c r="P44" s="1216"/>
      <c r="Q44" s="1216"/>
      <c r="R44" s="1692"/>
      <c r="S44" s="1216"/>
      <c r="T44" s="1216"/>
      <c r="U44" s="600"/>
      <c r="V44" s="1216"/>
      <c r="W44" s="1216"/>
      <c r="X44" s="1216"/>
      <c r="Y44" s="1216"/>
      <c r="Z44" s="1216"/>
      <c r="AA44" s="1688"/>
      <c r="AB44" s="622"/>
      <c r="AC44" s="622"/>
      <c r="AD44" s="622"/>
      <c r="AE44" s="622"/>
      <c r="AF44" s="1697">
        <v>11</v>
      </c>
    </row>
    <row s="3442" customFormat="1" customHeight="1" ht="11.549999999999999">
      <c r="A45" s="1043"/>
      <c r="B45" s="1692"/>
      <c r="C45" s="1692"/>
      <c r="D45" s="407"/>
      <c r="K45" s="1216"/>
      <c r="L45" s="1692"/>
      <c r="M45" s="1692"/>
      <c r="N45" s="1216"/>
      <c r="O45" s="1216"/>
      <c r="P45" s="1216"/>
      <c r="Q45" s="1216"/>
      <c r="R45" s="1692"/>
      <c r="S45" s="1216"/>
      <c r="T45" s="1216"/>
      <c r="U45" s="600"/>
      <c r="V45" s="1216"/>
      <c r="W45" s="1216"/>
      <c r="X45" s="1216"/>
      <c r="Y45" s="1216"/>
      <c r="Z45" s="1216"/>
      <c r="AA45" s="1688"/>
      <c r="AB45" s="622"/>
      <c r="AC45" s="622"/>
      <c r="AD45" s="622"/>
      <c r="AE45" s="622"/>
      <c r="AF45" s="1697">
        <v>11</v>
      </c>
    </row>
    <row s="3442" customFormat="1" customHeight="1" ht="11.549999999999999">
      <c r="A46" s="1043"/>
      <c r="B46" s="1692"/>
      <c r="C46" s="1692"/>
      <c r="D46" s="407"/>
      <c r="K46" s="1216"/>
      <c r="L46" s="1692"/>
      <c r="M46" s="1692"/>
      <c r="N46" s="1216"/>
      <c r="O46" s="1216"/>
      <c r="P46" s="1216"/>
      <c r="Q46" s="1216"/>
      <c r="R46" s="1692"/>
      <c r="S46" s="1216"/>
      <c r="T46" s="1216"/>
      <c r="U46" s="600"/>
      <c r="V46" s="1216"/>
      <c r="W46" s="1216"/>
      <c r="X46" s="1216"/>
      <c r="Y46" s="1216"/>
      <c r="Z46" s="1216"/>
      <c r="AA46" s="1688"/>
      <c r="AB46" s="622"/>
      <c r="AC46" s="622"/>
      <c r="AD46" s="622"/>
      <c r="AE46" s="622"/>
      <c r="AF46" s="1697">
        <v>11</v>
      </c>
    </row>
    <row s="3442" customFormat="1" customHeight="1" ht="11.549999999999999">
      <c r="A47" s="1043"/>
      <c r="B47" s="1692"/>
      <c r="C47" s="1692"/>
      <c r="D47" s="407"/>
      <c r="K47" s="1216"/>
      <c r="L47" s="1692"/>
      <c r="M47" s="1692"/>
      <c r="N47" s="1216"/>
      <c r="O47" s="1216"/>
      <c r="P47" s="1216"/>
      <c r="Q47" s="1216"/>
      <c r="R47" s="1692"/>
      <c r="S47" s="1216"/>
      <c r="T47" s="1216"/>
      <c r="U47" s="600"/>
      <c r="V47" s="1216"/>
      <c r="W47" s="1216"/>
      <c r="X47" s="1216"/>
      <c r="Y47" s="1216"/>
      <c r="Z47" s="1216"/>
      <c r="AA47" s="1688"/>
      <c r="AB47" s="622"/>
      <c r="AC47" s="622"/>
      <c r="AD47" s="622"/>
      <c r="AE47" s="622"/>
      <c r="AF47" s="1697">
        <v>11</v>
      </c>
    </row>
    <row s="3442" customFormat="1" customHeight="1" ht="11.549999999999999">
      <c r="A48" s="1043"/>
      <c r="B48" s="1692"/>
      <c r="C48" s="1692"/>
      <c r="D48" s="407"/>
      <c r="K48" s="1216"/>
      <c r="L48" s="1692"/>
      <c r="M48" s="1692"/>
      <c r="N48" s="1216"/>
      <c r="O48" s="1216"/>
      <c r="P48" s="1216"/>
      <c r="Q48" s="1216"/>
      <c r="R48" s="1692"/>
      <c r="S48" s="1216"/>
      <c r="T48" s="1216"/>
      <c r="U48" s="600"/>
      <c r="V48" s="1216"/>
      <c r="W48" s="1216"/>
      <c r="X48" s="1216"/>
      <c r="Y48" s="1216"/>
      <c r="Z48" s="1216"/>
      <c r="AA48" s="1688"/>
      <c r="AB48" s="622"/>
      <c r="AC48" s="622"/>
      <c r="AD48" s="622"/>
      <c r="AE48" s="622"/>
      <c r="AF48" s="1697">
        <v>11</v>
      </c>
    </row>
    <row s="3442" customFormat="1" customHeight="1" ht="11.549999999999999">
      <c r="A49" s="1043"/>
      <c r="B49" s="1692"/>
      <c r="C49" s="1692"/>
      <c r="D49" s="407"/>
      <c r="K49" s="1216"/>
      <c r="L49" s="1692"/>
      <c r="M49" s="1692"/>
      <c r="N49" s="1216"/>
      <c r="O49" s="1216"/>
      <c r="P49" s="1216"/>
      <c r="Q49" s="1216"/>
      <c r="R49" s="1692"/>
      <c r="S49" s="1216"/>
      <c r="T49" s="1216"/>
      <c r="U49" s="600"/>
      <c r="V49" s="1216"/>
      <c r="W49" s="1216"/>
      <c r="X49" s="1216"/>
      <c r="Y49" s="1216"/>
      <c r="Z49" s="1216"/>
      <c r="AA49" s="1688"/>
      <c r="AB49" s="622"/>
      <c r="AC49" s="622"/>
      <c r="AD49" s="622"/>
      <c r="AE49" s="622"/>
      <c r="AF49" s="1697">
        <v>11</v>
      </c>
    </row>
    <row s="3442" customFormat="1" customHeight="1" ht="11.549999999999999">
      <c r="A50" s="1043"/>
      <c r="B50" s="1692"/>
      <c r="C50" s="1692"/>
      <c r="D50" s="407"/>
      <c r="K50" s="1216"/>
      <c r="L50" s="1692"/>
      <c r="M50" s="1692"/>
      <c r="N50" s="1216"/>
      <c r="O50" s="1216"/>
      <c r="P50" s="1216"/>
      <c r="Q50" s="1216"/>
      <c r="R50" s="1692"/>
      <c r="S50" s="1216"/>
      <c r="T50" s="1216"/>
      <c r="U50" s="600"/>
      <c r="V50" s="1216"/>
      <c r="W50" s="1216"/>
      <c r="X50" s="1216"/>
      <c r="Y50" s="1216"/>
      <c r="Z50" s="1216"/>
      <c r="AA50" s="1688"/>
      <c r="AB50" s="622"/>
      <c r="AC50" s="622"/>
      <c r="AD50" s="622"/>
      <c r="AE50" s="622"/>
      <c r="AF50" s="1697">
        <v>11</v>
      </c>
    </row>
    <row s="3442" customFormat="1" customHeight="1" ht="11.549999999999999">
      <c r="A51" s="1043"/>
      <c r="B51" s="1692"/>
      <c r="C51" s="1692"/>
      <c r="D51" s="407"/>
      <c r="K51" s="1216"/>
      <c r="L51" s="1692"/>
      <c r="M51" s="1692"/>
      <c r="N51" s="1216"/>
      <c r="O51" s="1216"/>
      <c r="P51" s="1216"/>
      <c r="Q51" s="1216"/>
      <c r="R51" s="1692"/>
      <c r="S51" s="1216"/>
      <c r="T51" s="1216"/>
      <c r="U51" s="600"/>
      <c r="V51" s="1216"/>
      <c r="W51" s="1216"/>
      <c r="X51" s="1216"/>
      <c r="Y51" s="1216"/>
      <c r="Z51" s="1216"/>
      <c r="AA51" s="1688"/>
      <c r="AB51" s="622"/>
      <c r="AC51" s="622"/>
      <c r="AD51" s="622"/>
      <c r="AE51" s="622"/>
      <c r="AF51" s="1697">
        <v>11</v>
      </c>
    </row>
    <row s="3442" customFormat="1" customHeight="1" ht="11.549999999999999">
      <c r="A52" s="1043"/>
      <c r="B52" s="1692"/>
      <c r="C52" s="1692"/>
      <c r="D52" s="407"/>
      <c r="K52" s="1216"/>
      <c r="L52" s="1692"/>
      <c r="M52" s="1692"/>
      <c r="N52" s="1216"/>
      <c r="O52" s="1216"/>
      <c r="P52" s="1216"/>
      <c r="Q52" s="1216"/>
      <c r="R52" s="1692"/>
      <c r="S52" s="1216"/>
      <c r="T52" s="1216"/>
      <c r="U52" s="600"/>
      <c r="V52" s="1216"/>
      <c r="W52" s="1216"/>
      <c r="X52" s="1216"/>
      <c r="Y52" s="1216"/>
      <c r="Z52" s="1216"/>
      <c r="AA52" s="1688"/>
      <c r="AB52" s="622"/>
      <c r="AC52" s="622"/>
      <c r="AD52" s="622"/>
      <c r="AE52" s="622"/>
      <c r="AF52" s="1697">
        <v>11</v>
      </c>
    </row>
    <row s="3442" customFormat="1" customHeight="1" ht="11.549999999999999">
      <c r="A53" s="1043"/>
      <c r="B53" s="1692"/>
      <c r="C53" s="1692"/>
      <c r="D53" s="407"/>
      <c r="K53" s="1216"/>
      <c r="L53" s="1692"/>
      <c r="M53" s="1692"/>
      <c r="N53" s="1216"/>
      <c r="O53" s="1216"/>
      <c r="P53" s="1216"/>
      <c r="Q53" s="1216"/>
      <c r="R53" s="1692"/>
      <c r="S53" s="1216"/>
      <c r="T53" s="1216"/>
      <c r="U53" s="600"/>
      <c r="V53" s="1216"/>
      <c r="W53" s="1216"/>
      <c r="X53" s="1216"/>
      <c r="Y53" s="1216"/>
      <c r="Z53" s="1216"/>
      <c r="AA53" s="1688"/>
      <c r="AB53" s="622"/>
      <c r="AC53" s="622"/>
      <c r="AD53" s="622"/>
      <c r="AE53" s="622"/>
      <c r="AF53" s="1697">
        <v>11</v>
      </c>
    </row>
    <row s="3442" customFormat="1" customHeight="1" ht="11.549999999999999">
      <c r="A54" s="1043"/>
      <c r="B54" s="1692"/>
      <c r="C54" s="1692"/>
      <c r="D54" s="407"/>
      <c r="K54" s="1216"/>
      <c r="L54" s="1692"/>
      <c r="M54" s="1692"/>
      <c r="N54" s="1216"/>
      <c r="O54" s="1216"/>
      <c r="P54" s="1216"/>
      <c r="Q54" s="1216"/>
      <c r="R54" s="1692"/>
      <c r="S54" s="1216"/>
      <c r="T54" s="1216"/>
      <c r="U54" s="600"/>
      <c r="V54" s="1216"/>
      <c r="W54" s="1216"/>
      <c r="X54" s="1216"/>
      <c r="Y54" s="1216"/>
      <c r="Z54" s="1216"/>
      <c r="AA54" s="1688"/>
      <c r="AB54" s="622"/>
      <c r="AC54" s="622"/>
      <c r="AD54" s="622"/>
      <c r="AE54" s="622"/>
      <c r="AF54" s="1697">
        <v>11</v>
      </c>
    </row>
    <row s="3442" customFormat="1" customHeight="1" ht="11.549999999999999">
      <c r="A55" s="1043"/>
      <c r="B55" s="1692"/>
      <c r="C55" s="1692"/>
      <c r="D55" s="407"/>
      <c r="K55" s="1216"/>
      <c r="L55" s="1692"/>
      <c r="M55" s="1692"/>
      <c r="N55" s="1216"/>
      <c r="O55" s="1216"/>
      <c r="P55" s="1216"/>
      <c r="Q55" s="1216"/>
      <c r="R55" s="1692"/>
      <c r="S55" s="1216"/>
      <c r="T55" s="1216"/>
      <c r="U55" s="600"/>
      <c r="V55" s="1216"/>
      <c r="W55" s="1216"/>
      <c r="X55" s="1216"/>
      <c r="Y55" s="1216"/>
      <c r="Z55" s="1216"/>
      <c r="AA55" s="1688"/>
      <c r="AB55" s="622"/>
      <c r="AC55" s="622"/>
      <c r="AD55" s="622"/>
      <c r="AE55" s="622"/>
      <c r="AF55" s="1697">
        <v>11</v>
      </c>
    </row>
    <row s="3442" customFormat="1" customHeight="1" ht="11.549999999999999">
      <c r="A56" s="1043"/>
      <c r="B56" s="1692"/>
      <c r="C56" s="1692"/>
      <c r="D56" s="407"/>
      <c r="K56" s="1216"/>
      <c r="L56" s="1692"/>
      <c r="M56" s="1692"/>
      <c r="N56" s="1216"/>
      <c r="O56" s="1216"/>
      <c r="P56" s="1216"/>
      <c r="Q56" s="1216"/>
      <c r="R56" s="1692"/>
      <c r="S56" s="1216"/>
      <c r="T56" s="1216"/>
      <c r="U56" s="600"/>
      <c r="V56" s="1216"/>
      <c r="W56" s="1216"/>
      <c r="X56" s="1216"/>
      <c r="Y56" s="1216"/>
      <c r="Z56" s="1216"/>
      <c r="AA56" s="1688"/>
      <c r="AB56" s="622"/>
      <c r="AC56" s="622"/>
      <c r="AD56" s="622"/>
      <c r="AE56" s="622"/>
      <c r="AF56" s="1697">
        <v>11</v>
      </c>
    </row>
    <row s="3442" customFormat="1" customHeight="1" ht="11.549999999999999">
      <c r="A57" s="1043"/>
      <c r="B57" s="1692"/>
      <c r="C57" s="1692"/>
      <c r="D57" s="407"/>
      <c r="K57" s="1216"/>
      <c r="L57" s="1692"/>
      <c r="M57" s="1692"/>
      <c r="N57" s="1216"/>
      <c r="O57" s="1216"/>
      <c r="P57" s="1216"/>
      <c r="Q57" s="1216"/>
      <c r="R57" s="1692"/>
      <c r="S57" s="1216"/>
      <c r="T57" s="1216"/>
      <c r="U57" s="600"/>
      <c r="V57" s="1216"/>
      <c r="W57" s="1216"/>
      <c r="X57" s="1216"/>
      <c r="Y57" s="1216"/>
      <c r="Z57" s="1216"/>
      <c r="AA57" s="1688"/>
      <c r="AB57" s="622"/>
      <c r="AC57" s="622"/>
      <c r="AD57" s="622"/>
      <c r="AE57" s="622"/>
      <c r="AF57" s="1697">
        <v>11</v>
      </c>
    </row>
    <row s="3442" customFormat="1" customHeight="1" ht="11.549999999999999">
      <c r="A58" s="1043"/>
      <c r="B58" s="1692"/>
      <c r="C58" s="1692"/>
      <c r="D58" s="407"/>
      <c r="K58" s="1216"/>
      <c r="L58" s="1692"/>
      <c r="M58" s="1692"/>
      <c r="N58" s="1216"/>
      <c r="O58" s="1216"/>
      <c r="P58" s="1216"/>
      <c r="Q58" s="1216"/>
      <c r="R58" s="1692"/>
      <c r="S58" s="1216"/>
      <c r="T58" s="1216"/>
      <c r="U58" s="600"/>
      <c r="V58" s="1216"/>
      <c r="W58" s="1216"/>
      <c r="X58" s="1216"/>
      <c r="Y58" s="1216"/>
      <c r="Z58" s="1216"/>
      <c r="AA58" s="1688"/>
      <c r="AB58" s="622"/>
      <c r="AC58" s="622"/>
      <c r="AD58" s="622"/>
      <c r="AE58" s="622"/>
      <c r="AF58" s="1697">
        <v>11</v>
      </c>
    </row>
    <row s="3442" customFormat="1" customHeight="1" ht="11.549999999999999">
      <c r="A59" s="1043"/>
      <c r="B59" s="1692"/>
      <c r="C59" s="1692"/>
      <c r="D59" s="407"/>
      <c r="K59" s="1216"/>
      <c r="L59" s="1692"/>
      <c r="M59" s="1692"/>
      <c r="N59" s="1216"/>
      <c r="O59" s="1216"/>
      <c r="P59" s="1216"/>
      <c r="Q59" s="1216"/>
      <c r="R59" s="1692"/>
      <c r="S59" s="1216"/>
      <c r="T59" s="1216"/>
      <c r="U59" s="600"/>
      <c r="V59" s="1216"/>
      <c r="W59" s="1216"/>
      <c r="X59" s="1216"/>
      <c r="Y59" s="1216"/>
      <c r="Z59" s="1216"/>
      <c r="AA59" s="1688"/>
      <c r="AB59" s="622"/>
      <c r="AC59" s="622"/>
      <c r="AD59" s="622"/>
      <c r="AE59" s="622"/>
      <c r="AF59" s="1697">
        <v>11</v>
      </c>
    </row>
    <row s="3442" customFormat="1" customHeight="1" ht="11.549999999999999">
      <c r="A60" s="1043"/>
      <c r="B60" s="1692"/>
      <c r="C60" s="1692"/>
      <c r="D60" s="407"/>
      <c r="K60" s="1216"/>
      <c r="L60" s="1692"/>
      <c r="M60" s="1692"/>
      <c r="N60" s="1216"/>
      <c r="O60" s="1216"/>
      <c r="P60" s="1216"/>
      <c r="Q60" s="1216"/>
      <c r="R60" s="1692"/>
      <c r="S60" s="1216"/>
      <c r="T60" s="1216"/>
      <c r="U60" s="600"/>
      <c r="V60" s="1216"/>
      <c r="W60" s="1216"/>
      <c r="X60" s="1216"/>
      <c r="Y60" s="1216"/>
      <c r="Z60" s="1216"/>
      <c r="AA60" s="1688"/>
      <c r="AB60" s="622"/>
      <c r="AC60" s="622"/>
      <c r="AD60" s="622"/>
      <c r="AE60" s="622"/>
      <c r="AF60" s="1697">
        <v>11</v>
      </c>
    </row>
    <row s="3442" customFormat="1" customHeight="1" ht="11.549999999999999">
      <c r="A61" s="1043"/>
      <c r="B61" s="1692"/>
      <c r="C61" s="1692"/>
      <c r="D61" s="407"/>
      <c r="K61" s="1216"/>
      <c r="L61" s="1692"/>
      <c r="M61" s="1692"/>
      <c r="N61" s="1216"/>
      <c r="O61" s="1216"/>
      <c r="P61" s="1216"/>
      <c r="Q61" s="1216"/>
      <c r="R61" s="1692"/>
      <c r="S61" s="1216"/>
      <c r="T61" s="1216"/>
      <c r="U61" s="600"/>
      <c r="V61" s="1216"/>
      <c r="W61" s="1216"/>
      <c r="X61" s="1216"/>
      <c r="Y61" s="1216"/>
      <c r="Z61" s="1216"/>
      <c r="AA61" s="1688"/>
      <c r="AB61" s="622"/>
      <c r="AC61" s="622"/>
      <c r="AD61" s="622"/>
      <c r="AE61" s="622"/>
      <c r="AF61" s="1697">
        <v>11</v>
      </c>
    </row>
    <row s="3442" customFormat="1" customHeight="1" ht="11.549999999999999">
      <c r="A62" s="1043"/>
      <c r="B62" s="1692"/>
      <c r="C62" s="1692"/>
      <c r="D62" s="407"/>
      <c r="K62" s="1216"/>
      <c r="L62" s="1692"/>
      <c r="M62" s="1692"/>
      <c r="N62" s="1216"/>
      <c r="O62" s="1216"/>
      <c r="P62" s="1216"/>
      <c r="Q62" s="1216"/>
      <c r="R62" s="1692"/>
      <c r="S62" s="1216"/>
      <c r="T62" s="1216"/>
      <c r="U62" s="600"/>
      <c r="V62" s="1216"/>
      <c r="W62" s="1216"/>
      <c r="X62" s="1216"/>
      <c r="Y62" s="1216"/>
      <c r="Z62" s="1216"/>
      <c r="AA62" s="1688"/>
      <c r="AB62" s="622"/>
      <c r="AC62" s="622"/>
      <c r="AD62" s="622"/>
      <c r="AE62" s="622"/>
      <c r="AF62" s="1697">
        <v>11</v>
      </c>
    </row>
    <row s="3442" customFormat="1" customHeight="1" ht="11.549999999999999">
      <c r="A63" s="1043"/>
      <c r="B63" s="1692"/>
      <c r="C63" s="1692"/>
      <c r="D63" s="407"/>
      <c r="K63" s="1216"/>
      <c r="L63" s="1692"/>
      <c r="M63" s="1692"/>
      <c r="N63" s="1216"/>
      <c r="O63" s="1216"/>
      <c r="P63" s="1216"/>
      <c r="Q63" s="1216"/>
      <c r="R63" s="1692"/>
      <c r="S63" s="1216"/>
      <c r="T63" s="1216"/>
      <c r="U63" s="600"/>
      <c r="V63" s="1216"/>
      <c r="W63" s="1216"/>
      <c r="X63" s="1216"/>
      <c r="Y63" s="1216"/>
      <c r="Z63" s="1216"/>
      <c r="AA63" s="1688"/>
      <c r="AB63" s="622"/>
      <c r="AC63" s="622"/>
      <c r="AD63" s="622"/>
      <c r="AE63" s="622"/>
      <c r="AF63" s="1697">
        <v>11</v>
      </c>
    </row>
    <row s="3442" customFormat="1" customHeight="1" ht="11.549999999999999">
      <c r="A64" s="1043"/>
      <c r="B64" s="1692"/>
      <c r="C64" s="1692"/>
      <c r="D64" s="407"/>
      <c r="K64" s="1216"/>
      <c r="L64" s="1692"/>
      <c r="M64" s="1692"/>
      <c r="N64" s="1216"/>
      <c r="O64" s="1216"/>
      <c r="P64" s="1216"/>
      <c r="Q64" s="1216"/>
      <c r="R64" s="1692"/>
      <c r="S64" s="1216"/>
      <c r="T64" s="1216"/>
      <c r="U64" s="600"/>
      <c r="V64" s="1216"/>
      <c r="W64" s="1216"/>
      <c r="X64" s="1216"/>
      <c r="Y64" s="1216"/>
      <c r="Z64" s="1216"/>
      <c r="AA64" s="1688"/>
      <c r="AB64" s="622"/>
      <c r="AC64" s="622"/>
      <c r="AD64" s="622"/>
      <c r="AE64" s="622"/>
      <c r="AF64" s="1697">
        <v>11</v>
      </c>
    </row>
    <row s="3442" customFormat="1" customHeight="1" ht="11.549999999999999">
      <c r="A65" s="1043"/>
      <c r="B65" s="1692"/>
      <c r="C65" s="1692"/>
      <c r="D65" s="407"/>
      <c r="K65" s="1216"/>
      <c r="L65" s="1692"/>
      <c r="M65" s="1692"/>
      <c r="N65" s="1216"/>
      <c r="O65" s="1216"/>
      <c r="P65" s="1216"/>
      <c r="Q65" s="1216"/>
      <c r="R65" s="1692"/>
      <c r="S65" s="1216"/>
      <c r="T65" s="1216"/>
      <c r="U65" s="600"/>
      <c r="V65" s="1216"/>
      <c r="W65" s="1216"/>
      <c r="X65" s="1216"/>
      <c r="Y65" s="1216"/>
      <c r="Z65" s="1216"/>
      <c r="AA65" s="1688"/>
      <c r="AB65" s="622"/>
      <c r="AC65" s="622"/>
      <c r="AD65" s="622"/>
      <c r="AE65" s="622"/>
      <c r="AF65" s="1697">
        <v>11</v>
      </c>
    </row>
    <row s="3442" customFormat="1" customHeight="1" ht="11.549999999999999">
      <c r="A66" s="1043"/>
      <c r="B66" s="1692"/>
      <c r="C66" s="1692"/>
      <c r="D66" s="407"/>
      <c r="K66" s="1216"/>
      <c r="L66" s="1692"/>
      <c r="M66" s="1692"/>
      <c r="N66" s="1216"/>
      <c r="O66" s="1216"/>
      <c r="P66" s="1216"/>
      <c r="Q66" s="1216"/>
      <c r="R66" s="1692"/>
      <c r="S66" s="1216"/>
      <c r="T66" s="1216"/>
      <c r="U66" s="600"/>
      <c r="V66" s="1216"/>
      <c r="W66" s="1216"/>
      <c r="X66" s="1216"/>
      <c r="Y66" s="1216"/>
      <c r="Z66" s="1216"/>
      <c r="AA66" s="1688"/>
      <c r="AB66" s="622"/>
      <c r="AC66" s="622"/>
      <c r="AD66" s="622"/>
      <c r="AE66" s="622"/>
      <c r="AF66" s="1697">
        <v>11</v>
      </c>
    </row>
    <row s="3442" customFormat="1" customHeight="1" ht="11.549999999999999">
      <c r="A67" s="1043"/>
      <c r="B67" s="1692"/>
      <c r="C67" s="1692"/>
      <c r="D67" s="407"/>
      <c r="K67" s="1216"/>
      <c r="L67" s="1692"/>
      <c r="M67" s="1692"/>
      <c r="N67" s="1216"/>
      <c r="O67" s="1216"/>
      <c r="P67" s="1216"/>
      <c r="Q67" s="1216"/>
      <c r="R67" s="1692"/>
      <c r="S67" s="1216"/>
      <c r="T67" s="1216"/>
      <c r="U67" s="600"/>
      <c r="V67" s="1216"/>
      <c r="W67" s="1216"/>
      <c r="X67" s="1216"/>
      <c r="Y67" s="1216"/>
      <c r="Z67" s="1216"/>
      <c r="AA67" s="1688"/>
      <c r="AB67" s="622"/>
      <c r="AC67" s="622"/>
      <c r="AD67" s="622"/>
      <c r="AE67" s="622"/>
      <c r="AF67" s="1697">
        <v>11</v>
      </c>
    </row>
    <row s="3442" customFormat="1" customHeight="1" ht="11.549999999999999">
      <c r="A68" s="1043"/>
      <c r="B68" s="1692"/>
      <c r="C68" s="1692"/>
      <c r="D68" s="407"/>
      <c r="K68" s="1216"/>
      <c r="L68" s="1692"/>
      <c r="M68" s="1692"/>
      <c r="N68" s="1216"/>
      <c r="O68" s="1216"/>
      <c r="P68" s="1216"/>
      <c r="Q68" s="1216"/>
      <c r="R68" s="1692"/>
      <c r="S68" s="1216"/>
      <c r="T68" s="1216"/>
      <c r="U68" s="600"/>
      <c r="V68" s="1216"/>
      <c r="W68" s="1216"/>
      <c r="X68" s="1216"/>
      <c r="Y68" s="1216"/>
      <c r="Z68" s="1216"/>
      <c r="AA68" s="1688"/>
      <c r="AB68" s="622"/>
      <c r="AC68" s="622"/>
      <c r="AD68" s="622"/>
      <c r="AE68" s="622"/>
      <c r="AF68" s="1697">
        <v>11</v>
      </c>
    </row>
    <row s="3442" customFormat="1" customHeight="1" ht="11.549999999999999">
      <c r="A69" s="1043"/>
      <c r="B69" s="1692"/>
      <c r="C69" s="1692"/>
      <c r="D69" s="407"/>
      <c r="K69" s="1216"/>
      <c r="L69" s="1692"/>
      <c r="M69" s="1692"/>
      <c r="N69" s="1216"/>
      <c r="O69" s="1216"/>
      <c r="P69" s="1216"/>
      <c r="Q69" s="1216"/>
      <c r="R69" s="1692"/>
      <c r="S69" s="1216"/>
      <c r="T69" s="1216"/>
      <c r="U69" s="600"/>
      <c r="V69" s="1216"/>
      <c r="W69" s="1216"/>
      <c r="X69" s="1216"/>
      <c r="Y69" s="1216"/>
      <c r="Z69" s="1216"/>
      <c r="AA69" s="1688"/>
      <c r="AB69" s="622"/>
      <c r="AC69" s="622"/>
      <c r="AD69" s="622"/>
      <c r="AE69" s="622"/>
      <c r="AF69" s="1697">
        <v>11</v>
      </c>
    </row>
    <row s="3442" customFormat="1" customHeight="1" ht="11.549999999999999">
      <c r="A70" s="1043"/>
      <c r="B70" s="1692"/>
      <c r="C70" s="1692"/>
      <c r="D70" s="407"/>
      <c r="K70" s="1216"/>
      <c r="L70" s="1692"/>
      <c r="M70" s="1692"/>
      <c r="N70" s="1216"/>
      <c r="O70" s="1216"/>
      <c r="P70" s="1216"/>
      <c r="Q70" s="1216"/>
      <c r="R70" s="1692"/>
      <c r="S70" s="1216"/>
      <c r="T70" s="1216"/>
      <c r="U70" s="600"/>
      <c r="V70" s="1216"/>
      <c r="W70" s="1216"/>
      <c r="X70" s="1216"/>
      <c r="Y70" s="1216"/>
      <c r="Z70" s="1216"/>
      <c r="AA70" s="1688"/>
      <c r="AB70" s="622"/>
      <c r="AC70" s="622"/>
      <c r="AD70" s="622"/>
      <c r="AE70" s="622"/>
      <c r="AF70" s="1697">
        <v>11</v>
      </c>
    </row>
    <row s="3442" customFormat="1" customHeight="1" ht="11.549999999999999">
      <c r="A71" s="1043"/>
      <c r="B71" s="1692"/>
      <c r="C71" s="1692"/>
      <c r="D71" s="407"/>
      <c r="K71" s="1216"/>
      <c r="L71" s="1692"/>
      <c r="M71" s="1692"/>
      <c r="N71" s="1216"/>
      <c r="O71" s="1216"/>
      <c r="P71" s="1216"/>
      <c r="Q71" s="1216"/>
      <c r="R71" s="1692"/>
      <c r="S71" s="1216"/>
      <c r="T71" s="1216"/>
      <c r="U71" s="600"/>
      <c r="V71" s="1216"/>
      <c r="W71" s="1216"/>
      <c r="X71" s="1216"/>
      <c r="Y71" s="1216"/>
      <c r="Z71" s="1216"/>
      <c r="AA71" s="1688"/>
      <c r="AB71" s="622"/>
      <c r="AC71" s="622"/>
      <c r="AD71" s="622"/>
      <c r="AE71" s="622"/>
      <c r="AF71" s="1697">
        <v>11</v>
      </c>
    </row>
    <row s="3442" customFormat="1" customHeight="1" ht="11.549999999999999">
      <c r="A72" s="1043"/>
      <c r="B72" s="1692"/>
      <c r="C72" s="1692"/>
      <c r="D72" s="407"/>
      <c r="K72" s="1216"/>
      <c r="L72" s="1692"/>
      <c r="M72" s="1692"/>
      <c r="N72" s="1216"/>
      <c r="O72" s="1216"/>
      <c r="P72" s="1216"/>
      <c r="Q72" s="1216"/>
      <c r="R72" s="1692"/>
      <c r="S72" s="1216"/>
      <c r="T72" s="1216"/>
      <c r="U72" s="600"/>
      <c r="V72" s="1216"/>
      <c r="W72" s="1216"/>
      <c r="X72" s="1216"/>
      <c r="Y72" s="1216"/>
      <c r="Z72" s="1216"/>
      <c r="AA72" s="1688"/>
      <c r="AB72" s="622"/>
      <c r="AC72" s="622"/>
      <c r="AD72" s="622"/>
      <c r="AE72" s="622"/>
      <c r="AF72" s="1697">
        <v>11</v>
      </c>
    </row>
    <row s="3442" customFormat="1" customHeight="1" ht="11.549999999999999">
      <c r="A73" s="1043"/>
      <c r="B73" s="1692"/>
      <c r="C73" s="1692"/>
      <c r="D73" s="407"/>
      <c r="K73" s="1216"/>
      <c r="L73" s="1692"/>
      <c r="M73" s="1692"/>
      <c r="N73" s="1216"/>
      <c r="O73" s="1216"/>
      <c r="P73" s="1216"/>
      <c r="Q73" s="1216"/>
      <c r="R73" s="1692"/>
      <c r="S73" s="1216"/>
      <c r="T73" s="1216"/>
      <c r="U73" s="600"/>
      <c r="V73" s="1216"/>
      <c r="W73" s="1216"/>
      <c r="X73" s="1216"/>
      <c r="Y73" s="1216"/>
      <c r="Z73" s="1216"/>
      <c r="AA73" s="1688"/>
      <c r="AB73" s="622"/>
      <c r="AC73" s="622"/>
      <c r="AD73" s="622"/>
      <c r="AE73" s="622"/>
      <c r="AF73" s="1697">
        <v>11</v>
      </c>
    </row>
    <row s="3442" customFormat="1" customHeight="1" ht="11.549999999999999">
      <c r="A74" s="1043"/>
      <c r="B74" s="1692"/>
      <c r="C74" s="1692"/>
      <c r="D74" s="407"/>
      <c r="K74" s="1216"/>
      <c r="L74" s="1692"/>
      <c r="M74" s="1692"/>
      <c r="N74" s="1216"/>
      <c r="O74" s="1216"/>
      <c r="P74" s="1216"/>
      <c r="Q74" s="1216"/>
      <c r="R74" s="1692"/>
      <c r="S74" s="1216"/>
      <c r="T74" s="1216"/>
      <c r="U74" s="600"/>
      <c r="V74" s="1216"/>
      <c r="W74" s="1216"/>
      <c r="X74" s="1216"/>
      <c r="Y74" s="1216"/>
      <c r="Z74" s="1216"/>
      <c r="AA74" s="1688"/>
      <c r="AB74" s="622"/>
      <c r="AC74" s="622"/>
      <c r="AD74" s="622"/>
      <c r="AE74" s="622"/>
      <c r="AF74" s="1697">
        <v>11</v>
      </c>
    </row>
    <row s="3442" customFormat="1" customHeight="1" ht="11.549999999999999">
      <c r="A75" s="1043"/>
      <c r="B75" s="1692"/>
      <c r="C75" s="1692"/>
      <c r="D75" s="407"/>
      <c r="K75" s="1216"/>
      <c r="L75" s="1692"/>
      <c r="M75" s="1692"/>
      <c r="N75" s="1216"/>
      <c r="O75" s="1216"/>
      <c r="P75" s="1216"/>
      <c r="Q75" s="1216"/>
      <c r="R75" s="1692"/>
      <c r="S75" s="1216"/>
      <c r="T75" s="1216"/>
      <c r="U75" s="600"/>
      <c r="V75" s="1216"/>
      <c r="W75" s="1216"/>
      <c r="X75" s="1216"/>
      <c r="Y75" s="1216"/>
      <c r="Z75" s="1216"/>
      <c r="AA75" s="1688"/>
      <c r="AB75" s="622"/>
      <c r="AC75" s="622"/>
      <c r="AD75" s="622"/>
      <c r="AE75" s="622"/>
      <c r="AF75" s="1697">
        <v>11</v>
      </c>
    </row>
    <row s="3442" customFormat="1" customHeight="1" ht="11.549999999999999">
      <c r="A76" s="1043"/>
      <c r="B76" s="1692"/>
      <c r="C76" s="1692"/>
      <c r="D76" s="407"/>
      <c r="K76" s="1216"/>
      <c r="L76" s="1692"/>
      <c r="M76" s="1692"/>
      <c r="N76" s="1216"/>
      <c r="O76" s="1216"/>
      <c r="P76" s="1216"/>
      <c r="Q76" s="1216"/>
      <c r="R76" s="1692"/>
      <c r="S76" s="1216"/>
      <c r="T76" s="1216"/>
      <c r="U76" s="600"/>
      <c r="V76" s="1216"/>
      <c r="W76" s="1216"/>
      <c r="X76" s="1216"/>
      <c r="Y76" s="1216"/>
      <c r="Z76" s="1216"/>
      <c r="AA76" s="1688"/>
      <c r="AB76" s="622"/>
      <c r="AC76" s="622"/>
      <c r="AD76" s="622"/>
      <c r="AE76" s="622"/>
      <c r="AF76" s="1697">
        <v>11</v>
      </c>
    </row>
    <row s="3442" customFormat="1" customHeight="1" ht="11.549999999999999">
      <c r="A77" s="1043"/>
      <c r="B77" s="1692"/>
      <c r="C77" s="1692"/>
      <c r="D77" s="407"/>
      <c r="K77" s="1216"/>
      <c r="L77" s="1692"/>
      <c r="M77" s="1692"/>
      <c r="N77" s="1216"/>
      <c r="O77" s="1216"/>
      <c r="P77" s="1216"/>
      <c r="Q77" s="1216"/>
      <c r="R77" s="1692"/>
      <c r="S77" s="1216"/>
      <c r="T77" s="1216"/>
      <c r="U77" s="600"/>
      <c r="V77" s="1216"/>
      <c r="W77" s="1216"/>
      <c r="X77" s="1216"/>
      <c r="Y77" s="1216"/>
      <c r="Z77" s="1216"/>
      <c r="AA77" s="1688"/>
      <c r="AB77" s="622"/>
      <c r="AC77" s="622"/>
      <c r="AD77" s="622"/>
      <c r="AE77" s="622"/>
      <c r="AF77" s="1697">
        <v>11</v>
      </c>
    </row>
    <row s="3442" customFormat="1" customHeight="1" ht="11.549999999999999">
      <c r="A78" s="1043"/>
      <c r="B78" s="1692"/>
      <c r="C78" s="1692"/>
      <c r="D78" s="407"/>
      <c r="K78" s="1216"/>
      <c r="L78" s="1692"/>
      <c r="M78" s="1692"/>
      <c r="N78" s="1216"/>
      <c r="O78" s="1216"/>
      <c r="P78" s="1216"/>
      <c r="Q78" s="1216"/>
      <c r="R78" s="1692"/>
      <c r="S78" s="1216"/>
      <c r="T78" s="1216"/>
      <c r="U78" s="600"/>
      <c r="V78" s="1216"/>
      <c r="W78" s="1216"/>
      <c r="X78" s="1216"/>
      <c r="Y78" s="1216"/>
      <c r="Z78" s="1216"/>
      <c r="AA78" s="1688"/>
      <c r="AB78" s="622"/>
      <c r="AC78" s="622"/>
      <c r="AD78" s="622"/>
      <c r="AE78" s="622"/>
      <c r="AF78" s="1697">
        <v>11</v>
      </c>
    </row>
    <row s="3442" customFormat="1" customHeight="1" ht="11.549999999999999">
      <c r="A79" s="1043"/>
      <c r="B79" s="1692"/>
      <c r="C79" s="1692"/>
      <c r="D79" s="407"/>
      <c r="K79" s="1216"/>
      <c r="L79" s="1692"/>
      <c r="M79" s="1692"/>
      <c r="N79" s="1216"/>
      <c r="O79" s="1216"/>
      <c r="P79" s="1216"/>
      <c r="Q79" s="1216"/>
      <c r="R79" s="1692"/>
      <c r="S79" s="1216"/>
      <c r="T79" s="1216"/>
      <c r="U79" s="600"/>
      <c r="V79" s="1216"/>
      <c r="W79" s="1216"/>
      <c r="X79" s="1216"/>
      <c r="Y79" s="1216"/>
      <c r="Z79" s="1216"/>
      <c r="AA79" s="1688"/>
      <c r="AB79" s="622"/>
      <c r="AC79" s="622"/>
      <c r="AD79" s="622"/>
      <c r="AE79" s="622"/>
      <c r="AF79" s="1697">
        <v>11</v>
      </c>
    </row>
    <row s="3442" customFormat="1" customHeight="1" ht="11.549999999999999">
      <c r="A80" s="1043"/>
      <c r="B80" s="1692"/>
      <c r="C80" s="1692"/>
      <c r="D80" s="407"/>
      <c r="K80" s="1216"/>
      <c r="L80" s="1692"/>
      <c r="M80" s="1692"/>
      <c r="N80" s="1216"/>
      <c r="O80" s="1216"/>
      <c r="P80" s="1216"/>
      <c r="Q80" s="1216"/>
      <c r="R80" s="1692"/>
      <c r="S80" s="1216"/>
      <c r="T80" s="1216"/>
      <c r="U80" s="600"/>
      <c r="V80" s="1216"/>
      <c r="W80" s="1216"/>
      <c r="X80" s="1216"/>
      <c r="Y80" s="1216"/>
      <c r="Z80" s="1216"/>
      <c r="AA80" s="1688"/>
      <c r="AB80" s="622"/>
      <c r="AC80" s="622"/>
      <c r="AD80" s="622"/>
      <c r="AE80" s="622"/>
      <c r="AF80" s="1697">
        <v>11</v>
      </c>
    </row>
    <row s="3442" customFormat="1" customHeight="1" ht="11.549999999999999">
      <c r="A81" s="1043"/>
      <c r="B81" s="1692"/>
      <c r="C81" s="1692"/>
      <c r="D81" s="407"/>
      <c r="K81" s="1216"/>
      <c r="L81" s="1692"/>
      <c r="M81" s="1692"/>
      <c r="N81" s="1216"/>
      <c r="O81" s="1216"/>
      <c r="P81" s="1216"/>
      <c r="Q81" s="1216"/>
      <c r="R81" s="1692"/>
      <c r="S81" s="1216"/>
      <c r="T81" s="1216"/>
      <c r="U81" s="600"/>
      <c r="V81" s="1216"/>
      <c r="W81" s="1216"/>
      <c r="X81" s="1216"/>
      <c r="Y81" s="1216"/>
      <c r="Z81" s="1216"/>
      <c r="AA81" s="1688"/>
      <c r="AB81" s="622"/>
      <c r="AC81" s="622"/>
      <c r="AD81" s="622"/>
      <c r="AE81" s="622"/>
      <c r="AF81" s="1697">
        <v>11</v>
      </c>
    </row>
    <row s="3442" customFormat="1" customHeight="1" ht="11.549999999999999">
      <c r="A82" s="1043"/>
      <c r="B82" s="1692"/>
      <c r="C82" s="1692"/>
      <c r="D82" s="407"/>
      <c r="K82" s="1216"/>
      <c r="L82" s="1692"/>
      <c r="M82" s="1692"/>
      <c r="N82" s="1216"/>
      <c r="O82" s="1216"/>
      <c r="P82" s="1216"/>
      <c r="Q82" s="1216"/>
      <c r="R82" s="1692"/>
      <c r="S82" s="1216"/>
      <c r="T82" s="1216"/>
      <c r="U82" s="600"/>
      <c r="V82" s="1216"/>
      <c r="W82" s="1216"/>
      <c r="X82" s="1216"/>
      <c r="Y82" s="1216"/>
      <c r="Z82" s="1216"/>
      <c r="AA82" s="1688"/>
      <c r="AB82" s="622"/>
      <c r="AC82" s="622"/>
      <c r="AD82" s="622"/>
      <c r="AE82" s="622"/>
      <c r="AF82" s="1697">
        <v>11</v>
      </c>
    </row>
    <row s="3442" customFormat="1" customHeight="1" ht="11.549999999999999">
      <c r="A83" s="1043"/>
      <c r="B83" s="1692"/>
      <c r="C83" s="1692"/>
      <c r="D83" s="407"/>
      <c r="K83" s="1216"/>
      <c r="L83" s="1692"/>
      <c r="M83" s="1692"/>
      <c r="N83" s="1216"/>
      <c r="O83" s="1216"/>
      <c r="P83" s="1216"/>
      <c r="Q83" s="1216"/>
      <c r="R83" s="1692"/>
      <c r="S83" s="1216"/>
      <c r="T83" s="1216"/>
      <c r="U83" s="600"/>
      <c r="V83" s="1216"/>
      <c r="W83" s="1216"/>
      <c r="X83" s="1216"/>
      <c r="Y83" s="1216"/>
      <c r="Z83" s="1216"/>
      <c r="AA83" s="1688"/>
      <c r="AB83" s="622"/>
      <c r="AC83" s="622"/>
      <c r="AD83" s="622"/>
      <c r="AE83" s="622"/>
      <c r="AF83" s="1697">
        <v>11</v>
      </c>
    </row>
    <row s="3442" customFormat="1" customHeight="1" ht="11.549999999999999">
      <c r="A84" s="1043"/>
      <c r="B84" s="1692"/>
      <c r="C84" s="1692"/>
      <c r="D84" s="407"/>
      <c r="K84" s="1216"/>
      <c r="L84" s="1692"/>
      <c r="M84" s="1692"/>
      <c r="N84" s="1216"/>
      <c r="O84" s="1216"/>
      <c r="P84" s="1216"/>
      <c r="Q84" s="1216"/>
      <c r="R84" s="1692"/>
      <c r="S84" s="1216"/>
      <c r="T84" s="1216"/>
      <c r="U84" s="600"/>
      <c r="V84" s="1216"/>
      <c r="W84" s="1216"/>
      <c r="X84" s="1216"/>
      <c r="Y84" s="1216"/>
      <c r="Z84" s="1216"/>
      <c r="AA84" s="1688"/>
      <c r="AB84" s="622"/>
      <c r="AC84" s="622"/>
      <c r="AD84" s="622"/>
      <c r="AE84" s="622"/>
      <c r="AF84" s="1697">
        <v>11</v>
      </c>
    </row>
    <row s="3442" customFormat="1" customHeight="1" ht="11.549999999999999">
      <c r="A85" s="1043"/>
      <c r="B85" s="1692"/>
      <c r="C85" s="1692"/>
      <c r="D85" s="407"/>
      <c r="K85" s="1216"/>
      <c r="L85" s="1692"/>
      <c r="M85" s="1692"/>
      <c r="N85" s="1216"/>
      <c r="O85" s="1216"/>
      <c r="P85" s="1216"/>
      <c r="Q85" s="1216"/>
      <c r="R85" s="1692"/>
      <c r="S85" s="1216"/>
      <c r="T85" s="1216"/>
      <c r="U85" s="600"/>
      <c r="V85" s="1216"/>
      <c r="W85" s="1216"/>
      <c r="X85" s="1216"/>
      <c r="Y85" s="1216"/>
      <c r="Z85" s="1216"/>
      <c r="AA85" s="1688"/>
      <c r="AB85" s="622"/>
      <c r="AC85" s="622"/>
      <c r="AD85" s="622"/>
      <c r="AE85" s="622"/>
      <c r="AF85" s="1697">
        <v>11</v>
      </c>
    </row>
    <row s="3442" customFormat="1" customHeight="1" ht="11.549999999999999">
      <c r="A86" s="1043"/>
      <c r="B86" s="1692"/>
      <c r="C86" s="1692"/>
      <c r="D86" s="407"/>
      <c r="K86" s="1216"/>
      <c r="L86" s="1692"/>
      <c r="M86" s="1692"/>
      <c r="N86" s="1216"/>
      <c r="O86" s="1216"/>
      <c r="P86" s="1216"/>
      <c r="Q86" s="1216"/>
      <c r="R86" s="1692"/>
      <c r="S86" s="1216"/>
      <c r="T86" s="1216"/>
      <c r="U86" s="600"/>
      <c r="V86" s="1216"/>
      <c r="W86" s="1216"/>
      <c r="X86" s="1216"/>
      <c r="Y86" s="1216"/>
      <c r="Z86" s="1216"/>
      <c r="AA86" s="1688"/>
      <c r="AB86" s="622"/>
      <c r="AC86" s="622"/>
      <c r="AD86" s="622"/>
      <c r="AE86" s="622"/>
      <c r="AF86" s="1697">
        <v>11</v>
      </c>
    </row>
    <row s="3442" customFormat="1" customHeight="1" ht="11.549999999999999">
      <c r="A87" s="1043"/>
      <c r="B87" s="1692"/>
      <c r="C87" s="1692"/>
      <c r="D87" s="407"/>
      <c r="K87" s="1216"/>
      <c r="L87" s="1692"/>
      <c r="M87" s="1692"/>
      <c r="N87" s="1216"/>
      <c r="O87" s="1216"/>
      <c r="P87" s="1216"/>
      <c r="Q87" s="1216"/>
      <c r="R87" s="1692"/>
      <c r="S87" s="1216"/>
      <c r="T87" s="1216"/>
      <c r="U87" s="600"/>
      <c r="V87" s="1216"/>
      <c r="W87" s="1216"/>
      <c r="X87" s="1216"/>
      <c r="Y87" s="1216"/>
      <c r="Z87" s="1216"/>
      <c r="AA87" s="1688"/>
      <c r="AB87" s="622"/>
      <c r="AC87" s="622"/>
      <c r="AD87" s="622"/>
      <c r="AE87" s="622"/>
      <c r="AF87" s="1697">
        <v>11</v>
      </c>
    </row>
    <row s="3442" customFormat="1" customHeight="1" ht="11.549999999999999">
      <c r="A88" s="1043"/>
      <c r="B88" s="1692"/>
      <c r="C88" s="1692"/>
      <c r="D88" s="407"/>
      <c r="K88" s="1216"/>
      <c r="L88" s="1692"/>
      <c r="M88" s="1692"/>
      <c r="N88" s="1216"/>
      <c r="O88" s="1216"/>
      <c r="P88" s="1216"/>
      <c r="Q88" s="1216"/>
      <c r="R88" s="1692"/>
      <c r="S88" s="1216"/>
      <c r="T88" s="1216"/>
      <c r="U88" s="600"/>
      <c r="V88" s="1216"/>
      <c r="W88" s="1216"/>
      <c r="X88" s="1216"/>
      <c r="Y88" s="1216"/>
      <c r="Z88" s="1216"/>
      <c r="AA88" s="1688"/>
      <c r="AB88" s="622"/>
      <c r="AC88" s="622"/>
      <c r="AD88" s="622"/>
      <c r="AE88" s="622"/>
      <c r="AF88" s="1697">
        <v>11</v>
      </c>
    </row>
    <row s="3442" customFormat="1" customHeight="1" ht="11.549999999999999">
      <c r="A89" s="1043"/>
      <c r="B89" s="1692"/>
      <c r="C89" s="1692"/>
      <c r="D89" s="407"/>
      <c r="K89" s="1216"/>
      <c r="L89" s="1692"/>
      <c r="M89" s="1692"/>
      <c r="N89" s="1216"/>
      <c r="O89" s="1216"/>
      <c r="P89" s="1216"/>
      <c r="Q89" s="1216"/>
      <c r="R89" s="1692"/>
      <c r="S89" s="1216"/>
      <c r="T89" s="1216"/>
      <c r="U89" s="600"/>
      <c r="V89" s="1216"/>
      <c r="W89" s="1216"/>
      <c r="X89" s="1216"/>
      <c r="Y89" s="1216"/>
      <c r="Z89" s="1216"/>
      <c r="AA89" s="1688"/>
      <c r="AB89" s="622"/>
      <c r="AC89" s="622"/>
      <c r="AD89" s="622"/>
      <c r="AE89" s="622"/>
      <c r="AF89" s="1697">
        <v>11</v>
      </c>
    </row>
    <row s="3442" customFormat="1" customHeight="1" ht="11.549999999999999">
      <c r="A90" s="1043"/>
      <c r="B90" s="1692"/>
      <c r="C90" s="1692"/>
      <c r="D90" s="407"/>
      <c r="K90" s="1216"/>
      <c r="L90" s="1692"/>
      <c r="M90" s="1692"/>
      <c r="N90" s="1216"/>
      <c r="O90" s="1216"/>
      <c r="P90" s="1216"/>
      <c r="Q90" s="1216"/>
      <c r="R90" s="1692"/>
      <c r="S90" s="1216"/>
      <c r="T90" s="1216"/>
      <c r="U90" s="600"/>
      <c r="V90" s="1216"/>
      <c r="W90" s="1216"/>
      <c r="X90" s="1216"/>
      <c r="Y90" s="1216"/>
      <c r="Z90" s="1216"/>
      <c r="AA90" s="1688"/>
      <c r="AB90" s="622"/>
      <c r="AC90" s="622"/>
      <c r="AD90" s="622"/>
      <c r="AE90" s="622"/>
      <c r="AF90" s="1697">
        <v>11</v>
      </c>
    </row>
    <row s="3442" customFormat="1" customHeight="1" ht="11.549999999999999">
      <c r="A91" s="1043"/>
      <c r="B91" s="1692"/>
      <c r="C91" s="1692"/>
      <c r="D91" s="407"/>
      <c r="K91" s="1216"/>
      <c r="L91" s="1692"/>
      <c r="M91" s="1692"/>
      <c r="N91" s="1216"/>
      <c r="O91" s="1216"/>
      <c r="P91" s="1216"/>
      <c r="Q91" s="1216"/>
      <c r="R91" s="1692"/>
      <c r="S91" s="1216"/>
      <c r="T91" s="1216"/>
      <c r="U91" s="600"/>
      <c r="V91" s="1216"/>
      <c r="W91" s="1216"/>
      <c r="X91" s="1216"/>
      <c r="Y91" s="1216"/>
      <c r="Z91" s="1216"/>
      <c r="AA91" s="1688"/>
      <c r="AB91" s="622"/>
      <c r="AC91" s="622"/>
      <c r="AD91" s="622"/>
      <c r="AE91" s="622"/>
      <c r="AF91" s="1697">
        <v>11</v>
      </c>
    </row>
    <row s="3442" customFormat="1" customHeight="1" ht="11.549999999999999">
      <c r="A92" s="1043"/>
      <c r="B92" s="1692"/>
      <c r="C92" s="1692"/>
      <c r="D92" s="407"/>
      <c r="K92" s="1216"/>
      <c r="L92" s="1692"/>
      <c r="M92" s="1692"/>
      <c r="N92" s="1216"/>
      <c r="O92" s="1216"/>
      <c r="P92" s="1216"/>
      <c r="Q92" s="1216"/>
      <c r="R92" s="1692"/>
      <c r="S92" s="1216"/>
      <c r="T92" s="1216"/>
      <c r="U92" s="600"/>
      <c r="V92" s="1216"/>
      <c r="W92" s="1216"/>
      <c r="X92" s="1216"/>
      <c r="Y92" s="1216"/>
      <c r="Z92" s="1216"/>
      <c r="AA92" s="1688"/>
      <c r="AB92" s="622"/>
      <c r="AC92" s="622"/>
      <c r="AD92" s="622"/>
      <c r="AE92" s="622"/>
      <c r="AF92" s="1697">
        <v>11</v>
      </c>
    </row>
    <row s="3442" customFormat="1" customHeight="1" ht="11.549999999999999">
      <c r="A93" s="1043"/>
      <c r="B93" s="1692"/>
      <c r="C93" s="1692"/>
      <c r="D93" s="407"/>
      <c r="K93" s="1216"/>
      <c r="L93" s="1692"/>
      <c r="M93" s="1692"/>
      <c r="N93" s="1216"/>
      <c r="O93" s="1216"/>
      <c r="P93" s="1216"/>
      <c r="Q93" s="1216"/>
      <c r="R93" s="1692"/>
      <c r="S93" s="1216"/>
      <c r="T93" s="1216"/>
      <c r="U93" s="600"/>
      <c r="V93" s="1216"/>
      <c r="W93" s="1216"/>
      <c r="X93" s="1216"/>
      <c r="Y93" s="1216"/>
      <c r="Z93" s="1216"/>
      <c r="AA93" s="1688"/>
      <c r="AB93" s="622"/>
      <c r="AC93" s="622"/>
      <c r="AD93" s="622"/>
      <c r="AE93" s="622"/>
      <c r="AF93" s="1697">
        <v>11</v>
      </c>
    </row>
    <row s="3442" customFormat="1" customHeight="1" ht="11.549999999999999">
      <c r="A94" s="1043"/>
      <c r="B94" s="1692"/>
      <c r="C94" s="1692"/>
      <c r="D94" s="407"/>
      <c r="K94" s="1216"/>
      <c r="L94" s="1692"/>
      <c r="M94" s="1692"/>
      <c r="N94" s="1216"/>
      <c r="O94" s="1216"/>
      <c r="P94" s="1216"/>
      <c r="Q94" s="1216"/>
      <c r="R94" s="1692"/>
      <c r="S94" s="1216"/>
      <c r="T94" s="1216"/>
      <c r="U94" s="600"/>
      <c r="V94" s="1216"/>
      <c r="W94" s="1216"/>
      <c r="X94" s="1216"/>
      <c r="Y94" s="1216"/>
      <c r="Z94" s="1216"/>
      <c r="AA94" s="1688"/>
      <c r="AB94" s="622"/>
      <c r="AC94" s="622"/>
      <c r="AD94" s="622"/>
      <c r="AE94" s="622"/>
      <c r="AF94" s="1697">
        <v>11</v>
      </c>
    </row>
    <row s="3442" customFormat="1" customHeight="1" ht="11.549999999999999">
      <c r="A95" s="1043"/>
      <c r="B95" s="1692"/>
      <c r="C95" s="1692"/>
      <c r="D95" s="407"/>
      <c r="K95" s="1216"/>
      <c r="L95" s="1692"/>
      <c r="M95" s="1692"/>
      <c r="N95" s="1216"/>
      <c r="O95" s="1216"/>
      <c r="P95" s="1216"/>
      <c r="Q95" s="1216"/>
      <c r="R95" s="1692"/>
      <c r="S95" s="1216"/>
      <c r="T95" s="1216"/>
      <c r="U95" s="600"/>
      <c r="V95" s="1216"/>
      <c r="W95" s="1216"/>
      <c r="X95" s="1216"/>
      <c r="Y95" s="1216"/>
      <c r="Z95" s="1216"/>
      <c r="AA95" s="1688"/>
      <c r="AB95" s="622"/>
      <c r="AC95" s="622"/>
      <c r="AD95" s="622"/>
      <c r="AE95" s="622"/>
      <c r="AF95" s="1697">
        <v>11</v>
      </c>
    </row>
    <row s="3442" customFormat="1" customHeight="1" ht="11.549999999999999">
      <c r="A96" s="1043"/>
      <c r="B96" s="1692"/>
      <c r="C96" s="1692"/>
      <c r="D96" s="407"/>
      <c r="K96" s="1216"/>
      <c r="L96" s="1692"/>
      <c r="M96" s="1692"/>
      <c r="N96" s="1216"/>
      <c r="O96" s="1216"/>
      <c r="P96" s="1216"/>
      <c r="Q96" s="1216"/>
      <c r="R96" s="1692"/>
      <c r="S96" s="1216"/>
      <c r="T96" s="1216"/>
      <c r="U96" s="600"/>
      <c r="V96" s="1216"/>
      <c r="W96" s="1216"/>
      <c r="X96" s="1216"/>
      <c r="Y96" s="1216"/>
      <c r="Z96" s="1216"/>
      <c r="AA96" s="1688"/>
      <c r="AB96" s="622"/>
      <c r="AC96" s="622"/>
      <c r="AD96" s="622"/>
      <c r="AE96" s="622"/>
      <c r="AF96" s="1697">
        <v>11</v>
      </c>
    </row>
    <row s="3442" customFormat="1" customHeight="1" ht="11.549999999999999">
      <c r="A97" s="1043"/>
      <c r="B97" s="1692"/>
      <c r="C97" s="1692"/>
      <c r="D97" s="407"/>
      <c r="K97" s="1216"/>
      <c r="L97" s="1692"/>
      <c r="M97" s="1692"/>
      <c r="N97" s="1216"/>
      <c r="O97" s="1216"/>
      <c r="P97" s="1216"/>
      <c r="Q97" s="1216"/>
      <c r="R97" s="1692"/>
      <c r="S97" s="1216"/>
      <c r="T97" s="1216"/>
      <c r="U97" s="600"/>
      <c r="V97" s="1216"/>
      <c r="W97" s="1216"/>
      <c r="X97" s="1216"/>
      <c r="Y97" s="1216"/>
      <c r="Z97" s="1216"/>
      <c r="AA97" s="1688"/>
      <c r="AB97" s="622"/>
      <c r="AC97" s="622"/>
      <c r="AD97" s="622"/>
      <c r="AE97" s="622"/>
      <c r="AF97" s="1697">
        <v>11</v>
      </c>
    </row>
    <row s="3442" customFormat="1" customHeight="1" ht="11.549999999999999">
      <c r="A98" s="1043"/>
      <c r="B98" s="1692"/>
      <c r="C98" s="1692"/>
      <c r="D98" s="407"/>
      <c r="K98" s="1216"/>
      <c r="L98" s="1692"/>
      <c r="M98" s="1692"/>
      <c r="N98" s="1216"/>
      <c r="O98" s="1216"/>
      <c r="P98" s="1216"/>
      <c r="Q98" s="1216"/>
      <c r="R98" s="1692"/>
      <c r="S98" s="1216"/>
      <c r="T98" s="1216"/>
      <c r="U98" s="600"/>
      <c r="V98" s="1216"/>
      <c r="W98" s="1216"/>
      <c r="X98" s="1216"/>
      <c r="Y98" s="1216"/>
      <c r="Z98" s="1216"/>
      <c r="AA98" s="1688"/>
      <c r="AB98" s="622"/>
      <c r="AC98" s="622"/>
      <c r="AD98" s="622"/>
      <c r="AE98" s="622"/>
      <c r="AF98" s="1697">
        <v>11</v>
      </c>
    </row>
    <row s="3442" customFormat="1" customHeight="1" ht="11.549999999999999">
      <c r="A99" s="1043"/>
      <c r="B99" s="1692"/>
      <c r="C99" s="1692"/>
      <c r="D99" s="407"/>
      <c r="K99" s="1216"/>
      <c r="L99" s="1692"/>
      <c r="M99" s="1692"/>
      <c r="N99" s="1216"/>
      <c r="O99" s="1216"/>
      <c r="P99" s="1216"/>
      <c r="Q99" s="1216"/>
      <c r="R99" s="1692"/>
      <c r="S99" s="1216"/>
      <c r="T99" s="1216"/>
      <c r="U99" s="600"/>
      <c r="V99" s="1216"/>
      <c r="W99" s="1216"/>
      <c r="X99" s="1216"/>
      <c r="Y99" s="1216"/>
      <c r="Z99" s="1216"/>
      <c r="AA99" s="1688"/>
      <c r="AB99" s="622"/>
      <c r="AC99" s="622"/>
      <c r="AD99" s="622"/>
      <c r="AE99" s="622"/>
      <c r="AF99" s="1697">
        <v>11</v>
      </c>
    </row>
    <row s="3442" customFormat="1" customHeight="1" ht="11.549999999999999">
      <c r="A100" s="1043"/>
      <c r="B100" s="1692"/>
      <c r="C100" s="1692"/>
      <c r="D100" s="407"/>
      <c r="K100" s="1216"/>
      <c r="L100" s="1692"/>
      <c r="M100" s="1692"/>
      <c r="N100" s="1216"/>
      <c r="O100" s="1216"/>
      <c r="P100" s="1216"/>
      <c r="Q100" s="1216"/>
      <c r="R100" s="1692"/>
      <c r="S100" s="1216"/>
      <c r="T100" s="1216"/>
      <c r="U100" s="600"/>
      <c r="V100" s="1216"/>
      <c r="W100" s="1216"/>
      <c r="X100" s="1216"/>
      <c r="Y100" s="1216"/>
      <c r="Z100" s="1216"/>
      <c r="AA100" s="1688"/>
      <c r="AB100" s="622"/>
      <c r="AC100" s="622"/>
      <c r="AD100" s="622"/>
      <c r="AE100" s="622"/>
      <c r="AF100" s="1697">
        <v>11</v>
      </c>
    </row>
    <row s="3442" customFormat="1" customHeight="1" ht="11.549999999999999">
      <c r="A101" s="1043"/>
      <c r="B101" s="1692"/>
      <c r="C101" s="1692"/>
      <c r="D101" s="407"/>
      <c r="K101" s="1216"/>
      <c r="L101" s="1692"/>
      <c r="M101" s="1692"/>
      <c r="N101" s="1216"/>
      <c r="O101" s="1216"/>
      <c r="P101" s="1216"/>
      <c r="Q101" s="1216"/>
      <c r="R101" s="1692"/>
      <c r="S101" s="1216"/>
      <c r="T101" s="1216"/>
      <c r="U101" s="600"/>
      <c r="V101" s="1216"/>
      <c r="W101" s="1216"/>
      <c r="X101" s="1216"/>
      <c r="Y101" s="1216"/>
      <c r="Z101" s="1216"/>
      <c r="AA101" s="1688"/>
      <c r="AB101" s="622"/>
      <c r="AC101" s="622"/>
      <c r="AD101" s="622"/>
      <c r="AE101" s="622"/>
      <c r="AF101" s="1697">
        <v>11</v>
      </c>
    </row>
    <row s="3442" customFormat="1" customHeight="1" ht="11.549999999999999">
      <c r="A102" s="1043"/>
      <c r="B102" s="1692"/>
      <c r="C102" s="1692"/>
      <c r="D102" s="407"/>
      <c r="K102" s="1216"/>
      <c r="L102" s="1692"/>
      <c r="M102" s="1692"/>
      <c r="N102" s="1216"/>
      <c r="O102" s="1216"/>
      <c r="P102" s="1216"/>
      <c r="Q102" s="1216"/>
      <c r="R102" s="1692"/>
      <c r="S102" s="1216"/>
      <c r="T102" s="1216"/>
      <c r="U102" s="600"/>
      <c r="V102" s="1216"/>
      <c r="W102" s="1216"/>
      <c r="X102" s="1216"/>
      <c r="Y102" s="1216"/>
      <c r="Z102" s="1216"/>
      <c r="AA102" s="1688"/>
      <c r="AB102" s="622"/>
      <c r="AC102" s="622"/>
      <c r="AD102" s="622"/>
      <c r="AE102" s="622"/>
      <c r="AF102" s="1697">
        <v>11</v>
      </c>
    </row>
    <row s="3442" customFormat="1" customHeight="1" ht="11.549999999999999">
      <c r="A103" s="1043"/>
      <c r="B103" s="1692"/>
      <c r="C103" s="1692"/>
      <c r="D103" s="407"/>
      <c r="K103" s="1216"/>
      <c r="L103" s="1692"/>
      <c r="M103" s="1692"/>
      <c r="N103" s="1216"/>
      <c r="O103" s="1216"/>
      <c r="P103" s="1216"/>
      <c r="Q103" s="1216"/>
      <c r="R103" s="1692"/>
      <c r="S103" s="1216"/>
      <c r="T103" s="1216"/>
      <c r="U103" s="600"/>
      <c r="V103" s="1216"/>
      <c r="W103" s="1216"/>
      <c r="X103" s="1216"/>
      <c r="Y103" s="1216"/>
      <c r="Z103" s="1216"/>
      <c r="AA103" s="1688"/>
      <c r="AB103" s="622"/>
      <c r="AC103" s="622"/>
      <c r="AD103" s="622"/>
      <c r="AE103" s="622"/>
      <c r="AF103" s="1697">
        <v>11</v>
      </c>
    </row>
    <row s="3442" customFormat="1" customHeight="1" ht="11.549999999999999">
      <c r="A104" s="1043"/>
      <c r="B104" s="1692"/>
      <c r="C104" s="1692"/>
      <c r="D104" s="407"/>
      <c r="K104" s="1216"/>
      <c r="L104" s="1692"/>
      <c r="M104" s="1692"/>
      <c r="N104" s="1216"/>
      <c r="O104" s="1216"/>
      <c r="P104" s="1216"/>
      <c r="Q104" s="1216"/>
      <c r="R104" s="1692"/>
      <c r="S104" s="1216"/>
      <c r="T104" s="1216"/>
      <c r="U104" s="600"/>
      <c r="V104" s="1216"/>
      <c r="W104" s="1216"/>
      <c r="X104" s="1216"/>
      <c r="Y104" s="1216"/>
      <c r="Z104" s="1216"/>
      <c r="AA104" s="1688"/>
      <c r="AB104" s="622"/>
      <c r="AC104" s="622"/>
      <c r="AD104" s="622"/>
      <c r="AE104" s="622"/>
      <c r="AF104" s="1697">
        <v>11</v>
      </c>
    </row>
    <row s="3442" customFormat="1" customHeight="1" ht="11.549999999999999">
      <c r="A105" s="1043"/>
      <c r="B105" s="1692"/>
      <c r="C105" s="1692"/>
      <c r="D105" s="407"/>
      <c r="K105" s="1216"/>
      <c r="L105" s="1692"/>
      <c r="M105" s="1692"/>
      <c r="N105" s="1216"/>
      <c r="O105" s="1216"/>
      <c r="P105" s="1216"/>
      <c r="Q105" s="1216"/>
      <c r="R105" s="1692"/>
      <c r="S105" s="1216"/>
      <c r="T105" s="1216"/>
      <c r="U105" s="600"/>
      <c r="V105" s="1216"/>
      <c r="W105" s="1216"/>
      <c r="X105" s="1216"/>
      <c r="Y105" s="1216"/>
      <c r="Z105" s="1216"/>
      <c r="AA105" s="1688"/>
      <c r="AB105" s="622"/>
      <c r="AC105" s="622"/>
      <c r="AD105" s="622"/>
      <c r="AE105" s="622"/>
      <c r="AF105" s="1697">
        <v>11</v>
      </c>
    </row>
    <row s="3442" customFormat="1" customHeight="1" ht="11.549999999999999">
      <c r="A106" s="1043"/>
      <c r="B106" s="1692"/>
      <c r="C106" s="1692"/>
      <c r="D106" s="407"/>
      <c r="K106" s="1216"/>
      <c r="L106" s="1692"/>
      <c r="M106" s="1692"/>
      <c r="N106" s="1216"/>
      <c r="O106" s="1216"/>
      <c r="P106" s="1216"/>
      <c r="Q106" s="1216"/>
      <c r="R106" s="1692"/>
      <c r="S106" s="1216"/>
      <c r="T106" s="1216"/>
      <c r="U106" s="600"/>
      <c r="V106" s="1216"/>
      <c r="W106" s="1216"/>
      <c r="X106" s="1216"/>
      <c r="Y106" s="1216"/>
      <c r="Z106" s="1216"/>
      <c r="AA106" s="1688"/>
      <c r="AB106" s="622"/>
      <c r="AC106" s="622"/>
      <c r="AD106" s="622"/>
      <c r="AE106" s="622"/>
      <c r="AF106" s="1697">
        <v>11</v>
      </c>
    </row>
    <row s="3442" customFormat="1" customHeight="1" ht="11.549999999999999">
      <c r="A107" s="1043"/>
      <c r="B107" s="1692"/>
      <c r="C107" s="1692"/>
      <c r="D107" s="407"/>
      <c r="K107" s="1216"/>
      <c r="L107" s="1692"/>
      <c r="M107" s="1692"/>
      <c r="N107" s="1216"/>
      <c r="O107" s="1216"/>
      <c r="P107" s="1216"/>
      <c r="Q107" s="1216"/>
      <c r="R107" s="1692"/>
      <c r="S107" s="1216"/>
      <c r="T107" s="1216"/>
      <c r="U107" s="600"/>
      <c r="V107" s="1216"/>
      <c r="W107" s="1216"/>
      <c r="X107" s="1216"/>
      <c r="Y107" s="1216"/>
      <c r="Z107" s="1216"/>
      <c r="AA107" s="1688"/>
      <c r="AB107" s="622"/>
      <c r="AC107" s="622"/>
      <c r="AD107" s="622"/>
      <c r="AE107" s="622"/>
      <c r="AF107" s="1697">
        <v>11</v>
      </c>
    </row>
    <row s="3442" customFormat="1" customHeight="1" ht="11.549999999999999">
      <c r="A108" s="1043"/>
      <c r="B108" s="1692"/>
      <c r="C108" s="1692"/>
      <c r="D108" s="407"/>
      <c r="K108" s="1216"/>
      <c r="L108" s="1692"/>
      <c r="M108" s="1692"/>
      <c r="N108" s="1216"/>
      <c r="O108" s="1216"/>
      <c r="P108" s="1216"/>
      <c r="Q108" s="1216"/>
      <c r="R108" s="1692"/>
      <c r="S108" s="1216"/>
      <c r="T108" s="1216"/>
      <c r="U108" s="600"/>
      <c r="V108" s="1216"/>
      <c r="W108" s="1216"/>
      <c r="X108" s="1216"/>
      <c r="Y108" s="1216"/>
      <c r="Z108" s="1216"/>
      <c r="AA108" s="1688"/>
      <c r="AB108" s="622"/>
      <c r="AC108" s="622"/>
      <c r="AD108" s="622"/>
      <c r="AE108" s="622"/>
      <c r="AF108" s="1697">
        <v>11</v>
      </c>
    </row>
    <row s="3442" customFormat="1" customHeight="1" ht="11.549999999999999">
      <c r="A109" s="1043"/>
      <c r="B109" s="1692"/>
      <c r="C109" s="1692"/>
      <c r="D109" s="407"/>
      <c r="K109" s="1216"/>
      <c r="L109" s="1692"/>
      <c r="M109" s="1692"/>
      <c r="N109" s="1216"/>
      <c r="O109" s="1216"/>
      <c r="P109" s="1216"/>
      <c r="Q109" s="1216"/>
      <c r="R109" s="1692"/>
      <c r="S109" s="1216"/>
      <c r="T109" s="1216"/>
      <c r="U109" s="600"/>
      <c r="V109" s="1216"/>
      <c r="W109" s="1216"/>
      <c r="X109" s="1216"/>
      <c r="Y109" s="1216"/>
      <c r="Z109" s="1216"/>
      <c r="AA109" s="1688"/>
      <c r="AB109" s="622"/>
      <c r="AC109" s="622"/>
      <c r="AD109" s="622"/>
      <c r="AE109" s="622"/>
      <c r="AF109" s="1697">
        <v>11</v>
      </c>
    </row>
    <row s="3442" customFormat="1" customHeight="1" ht="11.549999999999999">
      <c r="A110" s="1043"/>
      <c r="B110" s="1692"/>
      <c r="C110" s="1692"/>
      <c r="D110" s="407"/>
      <c r="K110" s="1216"/>
      <c r="L110" s="1692"/>
      <c r="M110" s="1692"/>
      <c r="N110" s="1216"/>
      <c r="O110" s="1216"/>
      <c r="P110" s="1216"/>
      <c r="Q110" s="1216"/>
      <c r="R110" s="1692"/>
      <c r="S110" s="1216"/>
      <c r="T110" s="1216"/>
      <c r="U110" s="600"/>
      <c r="V110" s="1216"/>
      <c r="W110" s="1216"/>
      <c r="X110" s="1216"/>
      <c r="Y110" s="1216"/>
      <c r="Z110" s="1216"/>
      <c r="AA110" s="1688"/>
      <c r="AB110" s="622"/>
      <c r="AC110" s="622"/>
      <c r="AD110" s="622"/>
      <c r="AE110" s="622"/>
      <c r="AF110" s="1697">
        <v>11</v>
      </c>
    </row>
    <row s="3442" customFormat="1" customHeight="1" ht="11.549999999999999">
      <c r="A111" s="1043"/>
      <c r="B111" s="1692"/>
      <c r="C111" s="1692"/>
      <c r="D111" s="407"/>
      <c r="K111" s="1216"/>
      <c r="L111" s="1692"/>
      <c r="M111" s="1692"/>
      <c r="N111" s="1216"/>
      <c r="O111" s="1216"/>
      <c r="P111" s="1216"/>
      <c r="Q111" s="1216"/>
      <c r="R111" s="1692"/>
      <c r="S111" s="1216"/>
      <c r="T111" s="1216"/>
      <c r="U111" s="600"/>
      <c r="V111" s="1216"/>
      <c r="W111" s="1216"/>
      <c r="X111" s="1216"/>
      <c r="Y111" s="1216"/>
      <c r="Z111" s="1216"/>
      <c r="AA111" s="1688"/>
      <c r="AB111" s="622"/>
      <c r="AC111" s="622"/>
      <c r="AD111" s="622"/>
      <c r="AE111" s="622"/>
      <c r="AF111" s="1697">
        <v>11</v>
      </c>
    </row>
    <row s="3442" customFormat="1" customHeight="1" ht="11.549999999999999">
      <c r="A112" s="1043"/>
      <c r="B112" s="1692"/>
      <c r="C112" s="1692"/>
      <c r="D112" s="407"/>
      <c r="K112" s="1216"/>
      <c r="L112" s="1692"/>
      <c r="M112" s="1692"/>
      <c r="N112" s="1216"/>
      <c r="O112" s="1216"/>
      <c r="P112" s="1216"/>
      <c r="Q112" s="1216"/>
      <c r="R112" s="1692"/>
      <c r="S112" s="1216"/>
      <c r="T112" s="1216"/>
      <c r="U112" s="600"/>
      <c r="V112" s="1216"/>
      <c r="W112" s="1216"/>
      <c r="X112" s="1216"/>
      <c r="Y112" s="1216"/>
      <c r="Z112" s="1216"/>
      <c r="AA112" s="1688"/>
      <c r="AB112" s="622"/>
      <c r="AC112" s="622"/>
      <c r="AD112" s="622"/>
      <c r="AE112" s="622"/>
      <c r="AF112" s="1697">
        <v>11</v>
      </c>
    </row>
    <row s="3442" customFormat="1" customHeight="1" ht="11.549999999999999">
      <c r="A113" s="1043"/>
      <c r="B113" s="1692"/>
      <c r="C113" s="1692"/>
      <c r="D113" s="407"/>
      <c r="K113" s="1216"/>
      <c r="L113" s="1692"/>
      <c r="M113" s="1692"/>
      <c r="N113" s="1216"/>
      <c r="O113" s="1216"/>
      <c r="P113" s="1216"/>
      <c r="Q113" s="1216"/>
      <c r="R113" s="1692"/>
      <c r="S113" s="1216"/>
      <c r="T113" s="1216"/>
      <c r="U113" s="600"/>
      <c r="V113" s="1216"/>
      <c r="W113" s="1216"/>
      <c r="X113" s="1216"/>
      <c r="Y113" s="1216"/>
      <c r="Z113" s="1216"/>
      <c r="AA113" s="1688"/>
      <c r="AB113" s="622"/>
      <c r="AC113" s="622"/>
      <c r="AD113" s="622"/>
      <c r="AE113" s="622"/>
      <c r="AF113" s="1697">
        <v>11</v>
      </c>
    </row>
    <row s="3442" customFormat="1" customHeight="1" ht="11.549999999999999">
      <c r="A114" s="1043"/>
      <c r="B114" s="1692"/>
      <c r="C114" s="1692"/>
      <c r="D114" s="407"/>
      <c r="K114" s="1216"/>
      <c r="L114" s="1692"/>
      <c r="M114" s="1692"/>
      <c r="N114" s="1216"/>
      <c r="O114" s="1216"/>
      <c r="P114" s="1216"/>
      <c r="Q114" s="1216"/>
      <c r="R114" s="1692"/>
      <c r="S114" s="1216"/>
      <c r="T114" s="1216"/>
      <c r="U114" s="600"/>
      <c r="V114" s="1216"/>
      <c r="W114" s="1216"/>
      <c r="X114" s="1216"/>
      <c r="Y114" s="1216"/>
      <c r="Z114" s="1216"/>
      <c r="AA114" s="1688"/>
      <c r="AB114" s="622"/>
      <c r="AC114" s="622"/>
      <c r="AD114" s="622"/>
      <c r="AE114" s="622"/>
      <c r="AF114" s="1697">
        <v>11</v>
      </c>
    </row>
    <row s="3442" customFormat="1" customHeight="1" ht="11.549999999999999">
      <c r="A115" s="1043"/>
      <c r="B115" s="1692"/>
      <c r="C115" s="1692"/>
      <c r="D115" s="407"/>
      <c r="K115" s="1216"/>
      <c r="L115" s="1692"/>
      <c r="M115" s="1692"/>
      <c r="N115" s="1216"/>
      <c r="O115" s="1216"/>
      <c r="P115" s="1216"/>
      <c r="Q115" s="1216"/>
      <c r="R115" s="1692"/>
      <c r="S115" s="1216"/>
      <c r="T115" s="1216"/>
      <c r="U115" s="600"/>
      <c r="V115" s="1216"/>
      <c r="W115" s="1216"/>
      <c r="X115" s="1216"/>
      <c r="Y115" s="1216"/>
      <c r="Z115" s="1216"/>
      <c r="AA115" s="1688"/>
      <c r="AB115" s="622"/>
      <c r="AC115" s="622"/>
      <c r="AD115" s="622"/>
      <c r="AE115" s="622"/>
      <c r="AF115" s="1697">
        <v>11</v>
      </c>
    </row>
    <row s="3442" customFormat="1" customHeight="1" ht="11.549999999999999">
      <c r="A116" s="1043"/>
      <c r="B116" s="1692"/>
      <c r="C116" s="1692"/>
      <c r="D116" s="407"/>
      <c r="K116" s="1216"/>
      <c r="L116" s="1692"/>
      <c r="M116" s="1692"/>
      <c r="N116" s="1216"/>
      <c r="O116" s="1216"/>
      <c r="P116" s="1216"/>
      <c r="Q116" s="1216"/>
      <c r="R116" s="1692"/>
      <c r="S116" s="1216"/>
      <c r="T116" s="1216"/>
      <c r="U116" s="600"/>
      <c r="V116" s="1216"/>
      <c r="W116" s="1216"/>
      <c r="X116" s="1216"/>
      <c r="Y116" s="1216"/>
      <c r="Z116" s="1216"/>
      <c r="AA116" s="1688"/>
      <c r="AB116" s="622"/>
      <c r="AC116" s="622"/>
      <c r="AD116" s="622"/>
      <c r="AE116" s="622"/>
      <c r="AF116" s="1697">
        <v>11</v>
      </c>
    </row>
    <row s="3442" customFormat="1" customHeight="1" ht="11.549999999999999">
      <c r="A117" s="1043"/>
      <c r="B117" s="1692"/>
      <c r="C117" s="1692"/>
      <c r="D117" s="407"/>
      <c r="K117" s="1216"/>
      <c r="L117" s="1692"/>
      <c r="M117" s="1692"/>
      <c r="N117" s="1216"/>
      <c r="O117" s="1216"/>
      <c r="P117" s="1216"/>
      <c r="Q117" s="1216"/>
      <c r="R117" s="1692"/>
      <c r="S117" s="1216"/>
      <c r="T117" s="1216"/>
      <c r="U117" s="600"/>
      <c r="V117" s="1216"/>
      <c r="W117" s="1216"/>
      <c r="X117" s="1216"/>
      <c r="Y117" s="1216"/>
      <c r="Z117" s="1216"/>
      <c r="AA117" s="1688"/>
      <c r="AB117" s="622"/>
      <c r="AC117" s="622"/>
      <c r="AD117" s="622"/>
      <c r="AE117" s="622"/>
      <c r="AF117" s="1697">
        <v>11</v>
      </c>
    </row>
    <row s="3442" customFormat="1" customHeight="1" ht="11.549999999999999">
      <c r="A118" s="1043"/>
      <c r="B118" s="1692"/>
      <c r="C118" s="1692"/>
      <c r="D118" s="407"/>
      <c r="K118" s="1216"/>
      <c r="L118" s="1692"/>
      <c r="M118" s="1692"/>
      <c r="N118" s="1216"/>
      <c r="O118" s="1216"/>
      <c r="P118" s="1216"/>
      <c r="Q118" s="1216"/>
      <c r="R118" s="1692"/>
      <c r="S118" s="1216"/>
      <c r="T118" s="1216"/>
      <c r="U118" s="600"/>
      <c r="V118" s="1216"/>
      <c r="W118" s="1216"/>
      <c r="X118" s="1216"/>
      <c r="Y118" s="1216"/>
      <c r="Z118" s="1216"/>
      <c r="AA118" s="1688"/>
      <c r="AB118" s="622"/>
      <c r="AC118" s="622"/>
      <c r="AD118" s="622"/>
      <c r="AE118" s="622"/>
      <c r="AF118" s="1697">
        <v>11</v>
      </c>
    </row>
    <row s="3442" customFormat="1" customHeight="1" ht="11.549999999999999">
      <c r="A119" s="1043"/>
      <c r="B119" s="1692"/>
      <c r="C119" s="1692"/>
      <c r="D119" s="407"/>
      <c r="K119" s="1216"/>
      <c r="L119" s="1692"/>
      <c r="M119" s="1692"/>
      <c r="N119" s="1216"/>
      <c r="O119" s="1216"/>
      <c r="P119" s="1216"/>
      <c r="Q119" s="1216"/>
      <c r="R119" s="1692"/>
      <c r="S119" s="1216"/>
      <c r="T119" s="1216"/>
      <c r="U119" s="600"/>
      <c r="V119" s="1216"/>
      <c r="W119" s="1216"/>
      <c r="X119" s="1216"/>
      <c r="Y119" s="1216"/>
      <c r="Z119" s="1216"/>
      <c r="AA119" s="1688"/>
      <c r="AB119" s="622"/>
      <c r="AC119" s="622"/>
      <c r="AD119" s="622"/>
      <c r="AE119" s="622"/>
      <c r="AF119" s="1697">
        <v>11</v>
      </c>
    </row>
    <row s="3442" customFormat="1" customHeight="1" ht="11.549999999999999">
      <c r="A120" s="1043"/>
      <c r="B120" s="1692"/>
      <c r="C120" s="1692"/>
      <c r="D120" s="407"/>
      <c r="K120" s="1216"/>
      <c r="L120" s="1692"/>
      <c r="M120" s="1692"/>
      <c r="N120" s="1216"/>
      <c r="O120" s="1216"/>
      <c r="P120" s="1216"/>
      <c r="Q120" s="1216"/>
      <c r="R120" s="1692"/>
      <c r="S120" s="1216"/>
      <c r="T120" s="1216"/>
      <c r="U120" s="600"/>
      <c r="V120" s="1216"/>
      <c r="W120" s="1216"/>
      <c r="X120" s="1216"/>
      <c r="Y120" s="1216"/>
      <c r="Z120" s="1216"/>
      <c r="AA120" s="1688"/>
      <c r="AB120" s="622"/>
      <c r="AC120" s="622"/>
      <c r="AD120" s="622"/>
      <c r="AE120" s="622"/>
      <c r="AF120" s="1697">
        <v>11</v>
      </c>
    </row>
    <row s="3442" customFormat="1" customHeight="1" ht="11.549999999999999">
      <c r="A121" s="1043"/>
      <c r="B121" s="1692"/>
      <c r="C121" s="1692"/>
      <c r="D121" s="407"/>
      <c r="K121" s="1216"/>
      <c r="L121" s="1692"/>
      <c r="M121" s="1692"/>
      <c r="N121" s="1216"/>
      <c r="O121" s="1216"/>
      <c r="P121" s="1216"/>
      <c r="Q121" s="1216"/>
      <c r="R121" s="1692"/>
      <c r="S121" s="1216"/>
      <c r="T121" s="1216"/>
      <c r="U121" s="600"/>
      <c r="V121" s="1216"/>
      <c r="W121" s="1216"/>
      <c r="X121" s="1216"/>
      <c r="Y121" s="1216"/>
      <c r="Z121" s="1216"/>
      <c r="AA121" s="1688"/>
      <c r="AB121" s="622"/>
      <c r="AC121" s="622"/>
      <c r="AD121" s="622"/>
      <c r="AE121" s="622"/>
      <c r="AF121" s="1697">
        <v>11</v>
      </c>
    </row>
    <row s="3442" customFormat="1" customHeight="1" ht="11.549999999999999">
      <c r="A122" s="1043"/>
      <c r="B122" s="1692"/>
      <c r="C122" s="1692"/>
      <c r="D122" s="407"/>
      <c r="K122" s="1216"/>
      <c r="L122" s="1692"/>
      <c r="M122" s="1692"/>
      <c r="N122" s="1216"/>
      <c r="O122" s="1216"/>
      <c r="P122" s="1216"/>
      <c r="Q122" s="1216"/>
      <c r="R122" s="1692"/>
      <c r="S122" s="1216"/>
      <c r="T122" s="1216"/>
      <c r="U122" s="600"/>
      <c r="V122" s="1216"/>
      <c r="W122" s="1216"/>
      <c r="X122" s="1216"/>
      <c r="Y122" s="1216"/>
      <c r="Z122" s="1216"/>
      <c r="AA122" s="1688"/>
      <c r="AB122" s="622"/>
      <c r="AC122" s="622"/>
      <c r="AD122" s="622"/>
      <c r="AE122" s="622"/>
      <c r="AF122" s="1697">
        <v>11</v>
      </c>
    </row>
    <row s="3442" customFormat="1" customHeight="1" ht="11.549999999999999">
      <c r="A123" s="1043"/>
      <c r="B123" s="1692"/>
      <c r="C123" s="1692"/>
      <c r="D123" s="407"/>
      <c r="K123" s="1216"/>
      <c r="L123" s="1692"/>
      <c r="M123" s="1692"/>
      <c r="N123" s="1216"/>
      <c r="O123" s="1216"/>
      <c r="P123" s="1216"/>
      <c r="Q123" s="1216"/>
      <c r="R123" s="1692"/>
      <c r="S123" s="1216"/>
      <c r="T123" s="1216"/>
      <c r="U123" s="600"/>
      <c r="V123" s="1216"/>
      <c r="W123" s="1216"/>
      <c r="X123" s="1216"/>
      <c r="Y123" s="1216"/>
      <c r="Z123" s="1216"/>
      <c r="AA123" s="1688"/>
      <c r="AB123" s="622"/>
      <c r="AC123" s="622"/>
      <c r="AD123" s="622"/>
      <c r="AE123" s="622"/>
      <c r="AF123" s="1697">
        <v>11</v>
      </c>
    </row>
    <row s="3442" customFormat="1" customHeight="1" ht="11.549999999999999">
      <c r="A124" s="1043"/>
      <c r="B124" s="1692"/>
      <c r="C124" s="1692"/>
      <c r="D124" s="407"/>
      <c r="K124" s="1216"/>
      <c r="L124" s="1692"/>
      <c r="M124" s="1692"/>
      <c r="N124" s="1216"/>
      <c r="O124" s="1216"/>
      <c r="P124" s="1216"/>
      <c r="Q124" s="1216"/>
      <c r="R124" s="1692"/>
      <c r="S124" s="1216"/>
      <c r="T124" s="1216"/>
      <c r="U124" s="600"/>
      <c r="V124" s="1216"/>
      <c r="W124" s="1216"/>
      <c r="X124" s="1216"/>
      <c r="Y124" s="1216"/>
      <c r="Z124" s="1216"/>
      <c r="AA124" s="1688"/>
      <c r="AB124" s="622"/>
      <c r="AC124" s="622"/>
      <c r="AD124" s="622"/>
      <c r="AE124" s="622"/>
      <c r="AF124" s="1697">
        <v>11</v>
      </c>
    </row>
    <row s="3442" customFormat="1" customHeight="1" ht="11.549999999999999">
      <c r="A125" s="1043"/>
      <c r="B125" s="1692"/>
      <c r="C125" s="1692"/>
      <c r="D125" s="407"/>
      <c r="K125" s="1216"/>
      <c r="L125" s="1692"/>
      <c r="M125" s="1692"/>
      <c r="N125" s="1216"/>
      <c r="O125" s="1216"/>
      <c r="P125" s="1216"/>
      <c r="Q125" s="1216"/>
      <c r="R125" s="1692"/>
      <c r="S125" s="1216"/>
      <c r="T125" s="1216"/>
      <c r="U125" s="600"/>
      <c r="V125" s="1216"/>
      <c r="W125" s="1216"/>
      <c r="X125" s="1216"/>
      <c r="Y125" s="1216"/>
      <c r="Z125" s="1216"/>
      <c r="AA125" s="1688"/>
      <c r="AB125" s="622"/>
      <c r="AC125" s="622"/>
      <c r="AD125" s="622"/>
      <c r="AE125" s="622"/>
      <c r="AF125" s="1697">
        <v>11</v>
      </c>
    </row>
    <row s="3442" customFormat="1" customHeight="1" ht="11.549999999999999">
      <c r="A126" s="1043"/>
      <c r="B126" s="1692"/>
      <c r="C126" s="1692"/>
      <c r="D126" s="407"/>
      <c r="K126" s="1216"/>
      <c r="L126" s="1692"/>
      <c r="M126" s="1692"/>
      <c r="N126" s="1216"/>
      <c r="O126" s="1216"/>
      <c r="P126" s="1216"/>
      <c r="Q126" s="1216"/>
      <c r="R126" s="1692"/>
      <c r="S126" s="1216"/>
      <c r="T126" s="1216"/>
      <c r="U126" s="600"/>
      <c r="V126" s="1216"/>
      <c r="W126" s="1216"/>
      <c r="X126" s="1216"/>
      <c r="Y126" s="1216"/>
      <c r="Z126" s="1216"/>
      <c r="AA126" s="1688"/>
      <c r="AB126" s="622"/>
      <c r="AC126" s="622"/>
      <c r="AD126" s="622"/>
      <c r="AE126" s="622"/>
      <c r="AF126" s="1697">
        <v>11</v>
      </c>
    </row>
    <row s="3442" customFormat="1" customHeight="1" ht="11.549999999999999">
      <c r="A127" s="1043"/>
      <c r="B127" s="1692"/>
      <c r="C127" s="1692"/>
      <c r="D127" s="407"/>
      <c r="K127" s="1216"/>
      <c r="L127" s="1692"/>
      <c r="M127" s="1692"/>
      <c r="N127" s="1216"/>
      <c r="O127" s="1216"/>
      <c r="P127" s="1216"/>
      <c r="Q127" s="1216"/>
      <c r="R127" s="1692"/>
      <c r="S127" s="1216"/>
      <c r="T127" s="1216"/>
      <c r="U127" s="600"/>
      <c r="V127" s="1216"/>
      <c r="W127" s="1216"/>
      <c r="X127" s="1216"/>
      <c r="Y127" s="1216"/>
      <c r="Z127" s="1216"/>
      <c r="AA127" s="1688"/>
      <c r="AB127" s="622"/>
      <c r="AC127" s="622"/>
      <c r="AD127" s="622"/>
      <c r="AE127" s="622"/>
      <c r="AF127" s="1697">
        <v>11</v>
      </c>
    </row>
    <row s="3442" customFormat="1" customHeight="1" ht="11.549999999999999">
      <c r="A128" s="1043"/>
      <c r="B128" s="1692"/>
      <c r="C128" s="1692"/>
      <c r="D128" s="407"/>
      <c r="K128" s="1216"/>
      <c r="L128" s="1692"/>
      <c r="M128" s="1692"/>
      <c r="N128" s="1216"/>
      <c r="O128" s="1216"/>
      <c r="P128" s="1216"/>
      <c r="Q128" s="1216"/>
      <c r="R128" s="1692"/>
      <c r="S128" s="1216"/>
      <c r="T128" s="1216"/>
      <c r="U128" s="600"/>
      <c r="V128" s="1216"/>
      <c r="W128" s="1216"/>
      <c r="X128" s="1216"/>
      <c r="Y128" s="1216"/>
      <c r="Z128" s="1216"/>
      <c r="AA128" s="1688"/>
      <c r="AB128" s="622"/>
      <c r="AC128" s="622"/>
      <c r="AD128" s="622"/>
      <c r="AE128" s="622"/>
      <c r="AF128" s="1697">
        <v>11</v>
      </c>
    </row>
    <row s="3442" customFormat="1" customHeight="1" ht="11.549999999999999">
      <c r="A129" s="1043"/>
      <c r="B129" s="1692"/>
      <c r="C129" s="1692"/>
      <c r="D129" s="407"/>
      <c r="K129" s="1216"/>
      <c r="L129" s="1692"/>
      <c r="M129" s="1692"/>
      <c r="N129" s="1216"/>
      <c r="O129" s="1216"/>
      <c r="P129" s="1216"/>
      <c r="Q129" s="1216"/>
      <c r="R129" s="1692"/>
      <c r="S129" s="1216"/>
      <c r="T129" s="1216"/>
      <c r="U129" s="600"/>
      <c r="V129" s="1216"/>
      <c r="W129" s="1216"/>
      <c r="X129" s="1216"/>
      <c r="Y129" s="1216"/>
      <c r="Z129" s="1216"/>
      <c r="AA129" s="1688"/>
      <c r="AB129" s="622"/>
      <c r="AC129" s="622"/>
      <c r="AD129" s="622"/>
      <c r="AE129" s="622"/>
      <c r="AF129" s="1697">
        <v>11</v>
      </c>
    </row>
    <row s="3442" customFormat="1" customHeight="1" ht="11.549999999999999">
      <c r="A130" s="1043"/>
      <c r="B130" s="1692"/>
      <c r="C130" s="1692"/>
      <c r="D130" s="407"/>
      <c r="K130" s="1216"/>
      <c r="L130" s="1692"/>
      <c r="M130" s="1692"/>
      <c r="N130" s="1216"/>
      <c r="O130" s="1216"/>
      <c r="P130" s="1216"/>
      <c r="Q130" s="1216"/>
      <c r="R130" s="1692"/>
      <c r="S130" s="1216"/>
      <c r="T130" s="1216"/>
      <c r="U130" s="600"/>
      <c r="V130" s="1216"/>
      <c r="W130" s="1216"/>
      <c r="X130" s="1216"/>
      <c r="Y130" s="1216"/>
      <c r="Z130" s="1216"/>
      <c r="AA130" s="1688"/>
      <c r="AB130" s="622"/>
      <c r="AC130" s="622"/>
      <c r="AD130" s="622"/>
      <c r="AE130" s="622"/>
      <c r="AF130" s="1697">
        <v>11</v>
      </c>
    </row>
    <row s="3442" customFormat="1" customHeight="1" ht="11.549999999999999">
      <c r="A131" s="1043"/>
      <c r="B131" s="1692"/>
      <c r="C131" s="1692"/>
      <c r="D131" s="407"/>
      <c r="K131" s="1216"/>
      <c r="L131" s="1692"/>
      <c r="M131" s="1692"/>
      <c r="N131" s="1216"/>
      <c r="O131" s="1216"/>
      <c r="P131" s="1216"/>
      <c r="Q131" s="1216"/>
      <c r="R131" s="1692"/>
      <c r="S131" s="1216"/>
      <c r="T131" s="1216"/>
      <c r="U131" s="600"/>
      <c r="V131" s="1216"/>
      <c r="W131" s="1216"/>
      <c r="X131" s="1216"/>
      <c r="Y131" s="1216"/>
      <c r="Z131" s="1216"/>
      <c r="AA131" s="1688"/>
      <c r="AB131" s="622"/>
      <c r="AC131" s="622"/>
      <c r="AD131" s="622"/>
      <c r="AE131" s="622"/>
      <c r="AF131" s="1697">
        <v>11</v>
      </c>
    </row>
    <row s="3442" customFormat="1" customHeight="1" ht="11.549999999999999">
      <c r="A132" s="1043"/>
      <c r="B132" s="1692"/>
      <c r="C132" s="1692"/>
      <c r="D132" s="407"/>
      <c r="K132" s="1216"/>
      <c r="L132" s="1692"/>
      <c r="M132" s="1692"/>
      <c r="N132" s="1216"/>
      <c r="O132" s="1216"/>
      <c r="P132" s="1216"/>
      <c r="Q132" s="1216"/>
      <c r="R132" s="1692"/>
      <c r="S132" s="1216"/>
      <c r="T132" s="1216"/>
      <c r="U132" s="600"/>
      <c r="V132" s="1216"/>
      <c r="W132" s="1216"/>
      <c r="X132" s="1216"/>
      <c r="Y132" s="1216"/>
      <c r="Z132" s="1216"/>
      <c r="AA132" s="1688"/>
      <c r="AB132" s="622"/>
      <c r="AC132" s="622"/>
      <c r="AD132" s="622"/>
      <c r="AE132" s="622"/>
      <c r="AF132" s="1697">
        <v>11</v>
      </c>
    </row>
    <row s="3442" customFormat="1" customHeight="1" ht="11.549999999999999">
      <c r="A133" s="1043"/>
      <c r="B133" s="1692"/>
      <c r="C133" s="1692"/>
      <c r="D133" s="407"/>
      <c r="K133" s="1216"/>
      <c r="L133" s="1692"/>
      <c r="M133" s="1692"/>
      <c r="N133" s="1216"/>
      <c r="O133" s="1216"/>
      <c r="P133" s="1216"/>
      <c r="Q133" s="1216"/>
      <c r="R133" s="1692"/>
      <c r="S133" s="1216"/>
      <c r="T133" s="1216"/>
      <c r="U133" s="600"/>
      <c r="V133" s="1216"/>
      <c r="W133" s="1216"/>
      <c r="X133" s="1216"/>
      <c r="Y133" s="1216"/>
      <c r="Z133" s="1216"/>
      <c r="AA133" s="1688"/>
      <c r="AB133" s="622"/>
      <c r="AC133" s="622"/>
      <c r="AD133" s="622"/>
      <c r="AE133" s="622"/>
      <c r="AF133" s="1697">
        <v>11</v>
      </c>
    </row>
    <row s="3442" customFormat="1" customHeight="1" ht="11.549999999999999">
      <c r="A134" s="1043"/>
      <c r="B134" s="1692"/>
      <c r="C134" s="1692"/>
      <c r="D134" s="407"/>
      <c r="K134" s="1216"/>
      <c r="L134" s="1692"/>
      <c r="M134" s="1692"/>
      <c r="N134" s="1216"/>
      <c r="O134" s="1216"/>
      <c r="P134" s="1216"/>
      <c r="Q134" s="1216"/>
      <c r="R134" s="1692"/>
      <c r="S134" s="1216"/>
      <c r="T134" s="1216"/>
      <c r="U134" s="600"/>
      <c r="V134" s="1216"/>
      <c r="W134" s="1216"/>
      <c r="X134" s="1216"/>
      <c r="Y134" s="1216"/>
      <c r="Z134" s="1216"/>
      <c r="AA134" s="1688"/>
      <c r="AB134" s="622"/>
      <c r="AC134" s="622"/>
      <c r="AD134" s="622"/>
      <c r="AE134" s="622"/>
      <c r="AF134" s="1697">
        <v>11</v>
      </c>
    </row>
    <row s="3442" customFormat="1" customHeight="1" ht="11.549999999999999">
      <c r="A135" s="1043"/>
      <c r="B135" s="1692"/>
      <c r="C135" s="1692"/>
      <c r="D135" s="407"/>
      <c r="K135" s="1216"/>
      <c r="L135" s="1692"/>
      <c r="M135" s="1692"/>
      <c r="N135" s="1216"/>
      <c r="O135" s="1216"/>
      <c r="P135" s="1216"/>
      <c r="Q135" s="1216"/>
      <c r="R135" s="1692"/>
      <c r="S135" s="1216"/>
      <c r="T135" s="1216"/>
      <c r="U135" s="600"/>
      <c r="V135" s="1216"/>
      <c r="W135" s="1216"/>
      <c r="X135" s="1216"/>
      <c r="Y135" s="1216"/>
      <c r="Z135" s="1216"/>
      <c r="AA135" s="1688"/>
      <c r="AB135" s="622"/>
      <c r="AC135" s="622"/>
      <c r="AD135" s="622"/>
      <c r="AE135" s="622"/>
      <c r="AF135" s="1697">
        <v>11</v>
      </c>
    </row>
    <row s="3442" customFormat="1" customHeight="1" ht="11.549999999999999">
      <c r="A136" s="1043"/>
      <c r="B136" s="1692"/>
      <c r="C136" s="1692"/>
      <c r="D136" s="407"/>
      <c r="K136" s="1216"/>
      <c r="L136" s="1692"/>
      <c r="M136" s="1692"/>
      <c r="N136" s="1216"/>
      <c r="O136" s="1216"/>
      <c r="P136" s="1216"/>
      <c r="Q136" s="1216"/>
      <c r="R136" s="1692"/>
      <c r="S136" s="1216"/>
      <c r="T136" s="1216"/>
      <c r="U136" s="600"/>
      <c r="V136" s="1216"/>
      <c r="W136" s="1216"/>
      <c r="X136" s="1216"/>
      <c r="Y136" s="1216"/>
      <c r="Z136" s="1216"/>
      <c r="AA136" s="1688"/>
      <c r="AB136" s="622"/>
      <c r="AC136" s="622"/>
      <c r="AD136" s="622"/>
      <c r="AE136" s="622"/>
      <c r="AF136" s="1697">
        <v>11</v>
      </c>
    </row>
    <row s="3442" customFormat="1" customHeight="1" ht="11.549999999999999">
      <c r="A137" s="1043"/>
      <c r="B137" s="1692"/>
      <c r="C137" s="1692"/>
      <c r="D137" s="407"/>
      <c r="K137" s="1216"/>
      <c r="L137" s="1692"/>
      <c r="M137" s="1692"/>
      <c r="N137" s="1216"/>
      <c r="O137" s="1216"/>
      <c r="P137" s="1216"/>
      <c r="Q137" s="1216"/>
      <c r="R137" s="1692"/>
      <c r="S137" s="1216"/>
      <c r="T137" s="1216"/>
      <c r="U137" s="600"/>
      <c r="V137" s="1216"/>
      <c r="W137" s="1216"/>
      <c r="X137" s="1216"/>
      <c r="Y137" s="1216"/>
      <c r="Z137" s="1216"/>
      <c r="AA137" s="1688"/>
      <c r="AB137" s="622"/>
      <c r="AC137" s="622"/>
      <c r="AD137" s="622"/>
      <c r="AE137" s="622"/>
      <c r="AF137" s="1697">
        <v>11</v>
      </c>
    </row>
    <row s="3442" customFormat="1" customHeight="1" ht="11.549999999999999">
      <c r="A138" s="1043"/>
      <c r="B138" s="1692"/>
      <c r="C138" s="1692"/>
      <c r="D138" s="407"/>
      <c r="K138" s="1216"/>
      <c r="L138" s="1692"/>
      <c r="M138" s="1692"/>
      <c r="N138" s="1216"/>
      <c r="O138" s="1216"/>
      <c r="P138" s="1216"/>
      <c r="Q138" s="1216"/>
      <c r="R138" s="1692"/>
      <c r="S138" s="1216"/>
      <c r="T138" s="1216"/>
      <c r="U138" s="600"/>
      <c r="V138" s="1216"/>
      <c r="W138" s="1216"/>
      <c r="X138" s="1216"/>
      <c r="Y138" s="1216"/>
      <c r="Z138" s="1216"/>
      <c r="AA138" s="1688"/>
      <c r="AB138" s="622"/>
      <c r="AC138" s="622"/>
      <c r="AD138" s="622"/>
      <c r="AE138" s="622"/>
      <c r="AF138" s="1697">
        <v>11</v>
      </c>
    </row>
    <row s="3442" customFormat="1" customHeight="1" ht="11.549999999999999">
      <c r="A139" s="1043"/>
      <c r="B139" s="1692"/>
      <c r="C139" s="1692"/>
      <c r="D139" s="407"/>
      <c r="K139" s="1216"/>
      <c r="L139" s="1692"/>
      <c r="M139" s="1692"/>
      <c r="N139" s="1216"/>
      <c r="O139" s="1216"/>
      <c r="P139" s="1216"/>
      <c r="Q139" s="1216"/>
      <c r="R139" s="1692"/>
      <c r="S139" s="1216"/>
      <c r="T139" s="1216"/>
      <c r="U139" s="600"/>
      <c r="V139" s="1216"/>
      <c r="W139" s="1216"/>
      <c r="X139" s="1216"/>
      <c r="Y139" s="1216"/>
      <c r="Z139" s="1216"/>
      <c r="AA139" s="1688"/>
      <c r="AB139" s="622"/>
      <c r="AC139" s="622"/>
      <c r="AD139" s="622"/>
      <c r="AE139" s="622"/>
      <c r="AF139" s="1697">
        <v>11</v>
      </c>
    </row>
    <row s="3442" customFormat="1" customHeight="1" ht="11.549999999999999">
      <c r="A140" s="1043"/>
      <c r="B140" s="1692"/>
      <c r="C140" s="1692"/>
      <c r="D140" s="407"/>
      <c r="K140" s="1216"/>
      <c r="L140" s="1692"/>
      <c r="M140" s="1692"/>
      <c r="N140" s="1216"/>
      <c r="O140" s="1216"/>
      <c r="P140" s="1216"/>
      <c r="Q140" s="1216"/>
      <c r="R140" s="1692"/>
      <c r="S140" s="1216"/>
      <c r="T140" s="1216"/>
      <c r="U140" s="600"/>
      <c r="V140" s="1216"/>
      <c r="W140" s="1216"/>
      <c r="X140" s="1216"/>
      <c r="Y140" s="1216"/>
      <c r="Z140" s="1216"/>
      <c r="AA140" s="1688"/>
      <c r="AB140" s="622"/>
      <c r="AC140" s="622"/>
      <c r="AD140" s="622"/>
      <c r="AE140" s="622"/>
      <c r="AF140" s="1697">
        <v>11</v>
      </c>
    </row>
    <row s="3442" customFormat="1" customHeight="1" ht="11.549999999999999">
      <c r="A141" s="1043"/>
      <c r="B141" s="1692"/>
      <c r="C141" s="1692"/>
      <c r="D141" s="407"/>
      <c r="K141" s="1216"/>
      <c r="L141" s="1692"/>
      <c r="M141" s="1692"/>
      <c r="N141" s="1216"/>
      <c r="O141" s="1216"/>
      <c r="P141" s="1216"/>
      <c r="Q141" s="1216"/>
      <c r="R141" s="1692"/>
      <c r="S141" s="1216"/>
      <c r="T141" s="1216"/>
      <c r="U141" s="600"/>
      <c r="V141" s="1216"/>
      <c r="W141" s="1216"/>
      <c r="X141" s="1216"/>
      <c r="Y141" s="1216"/>
      <c r="Z141" s="1216"/>
      <c r="AA141" s="1688"/>
      <c r="AB141" s="622"/>
      <c r="AC141" s="622"/>
      <c r="AD141" s="622"/>
      <c r="AE141" s="622"/>
      <c r="AF141" s="1697">
        <v>11</v>
      </c>
    </row>
    <row s="3442" customFormat="1" customHeight="1" ht="11.549999999999999">
      <c r="A142" s="1043"/>
      <c r="B142" s="1692"/>
      <c r="C142" s="1692"/>
      <c r="D142" s="407"/>
      <c r="K142" s="1216"/>
      <c r="L142" s="1692"/>
      <c r="M142" s="1692"/>
      <c r="N142" s="1216"/>
      <c r="O142" s="1216"/>
      <c r="P142" s="1216"/>
      <c r="Q142" s="1216"/>
      <c r="R142" s="1692"/>
      <c r="S142" s="1216"/>
      <c r="T142" s="1216"/>
      <c r="U142" s="600"/>
      <c r="V142" s="1216"/>
      <c r="W142" s="1216"/>
      <c r="X142" s="1216"/>
      <c r="Y142" s="1216"/>
      <c r="Z142" s="1216"/>
      <c r="AA142" s="1688"/>
      <c r="AB142" s="622"/>
      <c r="AC142" s="622"/>
      <c r="AD142" s="622"/>
      <c r="AE142" s="622"/>
      <c r="AF142" s="1697">
        <v>11</v>
      </c>
    </row>
    <row s="3442" customFormat="1" customHeight="1" ht="11.549999999999999">
      <c r="A143" s="1043"/>
      <c r="B143" s="1692"/>
      <c r="C143" s="1692"/>
      <c r="D143" s="407"/>
      <c r="K143" s="1216"/>
      <c r="L143" s="1692"/>
      <c r="M143" s="1692"/>
      <c r="N143" s="1216"/>
      <c r="O143" s="1216"/>
      <c r="P143" s="1216"/>
      <c r="Q143" s="1216"/>
      <c r="R143" s="1692"/>
      <c r="S143" s="1216"/>
      <c r="T143" s="1216"/>
      <c r="U143" s="600"/>
      <c r="V143" s="1216"/>
      <c r="W143" s="1216"/>
      <c r="X143" s="1216"/>
      <c r="Y143" s="1216"/>
      <c r="Z143" s="1216"/>
      <c r="AA143" s="1688"/>
      <c r="AB143" s="622"/>
      <c r="AC143" s="622"/>
      <c r="AD143" s="622"/>
      <c r="AE143" s="622"/>
      <c r="AF143" s="1697">
        <v>11</v>
      </c>
    </row>
    <row s="3442" customFormat="1" customHeight="1" ht="11.549999999999999">
      <c r="A144" s="1043"/>
      <c r="B144" s="1692"/>
      <c r="C144" s="1692"/>
      <c r="D144" s="407"/>
      <c r="K144" s="1216"/>
      <c r="L144" s="1692"/>
      <c r="M144" s="1692"/>
      <c r="N144" s="1216"/>
      <c r="O144" s="1216"/>
      <c r="P144" s="1216"/>
      <c r="Q144" s="1216"/>
      <c r="R144" s="1692"/>
      <c r="S144" s="1216"/>
      <c r="T144" s="1216"/>
      <c r="U144" s="600"/>
      <c r="V144" s="1216"/>
      <c r="W144" s="1216"/>
      <c r="X144" s="1216"/>
      <c r="Y144" s="1216"/>
      <c r="Z144" s="1216"/>
      <c r="AA144" s="1688"/>
      <c r="AB144" s="622"/>
      <c r="AC144" s="622"/>
      <c r="AD144" s="622"/>
      <c r="AE144" s="622"/>
      <c r="AF144" s="1697">
        <v>11</v>
      </c>
    </row>
    <row s="3442" customFormat="1" customHeight="1" ht="11.549999999999999">
      <c r="A145" s="1043"/>
      <c r="B145" s="1692"/>
      <c r="C145" s="1692"/>
      <c r="D145" s="407"/>
      <c r="K145" s="1216"/>
      <c r="L145" s="1692"/>
      <c r="M145" s="1692"/>
      <c r="N145" s="1216"/>
      <c r="O145" s="1216"/>
      <c r="P145" s="1216"/>
      <c r="Q145" s="1216"/>
      <c r="R145" s="1692"/>
      <c r="S145" s="1216"/>
      <c r="T145" s="1216"/>
      <c r="U145" s="600"/>
      <c r="V145" s="1216"/>
      <c r="W145" s="1216"/>
      <c r="X145" s="1216"/>
      <c r="Y145" s="1216"/>
      <c r="Z145" s="1216"/>
      <c r="AA145" s="1688"/>
      <c r="AB145" s="622"/>
      <c r="AC145" s="622"/>
      <c r="AD145" s="622"/>
      <c r="AE145" s="622"/>
      <c r="AF145" s="1697">
        <v>11</v>
      </c>
    </row>
    <row s="3442" customFormat="1" customHeight="1" ht="11.549999999999999">
      <c r="A146" s="1043"/>
      <c r="B146" s="1692"/>
      <c r="C146" s="1692"/>
      <c r="D146" s="407"/>
      <c r="K146" s="1216"/>
      <c r="L146" s="1692"/>
      <c r="M146" s="1692"/>
      <c r="N146" s="1216"/>
      <c r="O146" s="1216"/>
      <c r="P146" s="1216"/>
      <c r="Q146" s="1216"/>
      <c r="R146" s="1692"/>
      <c r="S146" s="1216"/>
      <c r="T146" s="1216"/>
      <c r="U146" s="600"/>
      <c r="V146" s="1216"/>
      <c r="W146" s="1216"/>
      <c r="X146" s="1216"/>
      <c r="Y146" s="1216"/>
      <c r="Z146" s="1216"/>
      <c r="AA146" s="1688"/>
      <c r="AB146" s="622"/>
      <c r="AC146" s="622"/>
      <c r="AD146" s="622"/>
      <c r="AE146" s="622"/>
      <c r="AF146" s="1697">
        <v>11</v>
      </c>
    </row>
    <row s="3442" customFormat="1" customHeight="1" ht="11.549999999999999">
      <c r="A147" s="1043"/>
      <c r="B147" s="1692"/>
      <c r="C147" s="1692"/>
      <c r="D147" s="407"/>
      <c r="K147" s="1216"/>
      <c r="L147" s="1692"/>
      <c r="M147" s="1692"/>
      <c r="N147" s="1216"/>
      <c r="O147" s="1216"/>
      <c r="P147" s="1216"/>
      <c r="Q147" s="1216"/>
      <c r="R147" s="1692"/>
      <c r="S147" s="1216"/>
      <c r="T147" s="1216"/>
      <c r="U147" s="600"/>
      <c r="V147" s="1216"/>
      <c r="W147" s="1216"/>
      <c r="X147" s="1216"/>
      <c r="Y147" s="1216"/>
      <c r="Z147" s="1216"/>
      <c r="AA147" s="1688"/>
      <c r="AB147" s="622"/>
      <c r="AC147" s="622"/>
      <c r="AD147" s="622"/>
      <c r="AE147" s="622"/>
      <c r="AF147" s="1697">
        <v>11</v>
      </c>
    </row>
    <row s="3442" customFormat="1" customHeight="1" ht="11.549999999999999">
      <c r="A148" s="1043"/>
      <c r="B148" s="1692"/>
      <c r="C148" s="1692"/>
      <c r="D148" s="407"/>
      <c r="K148" s="1216"/>
      <c r="L148" s="1692"/>
      <c r="M148" s="1692"/>
      <c r="N148" s="1216"/>
      <c r="O148" s="1216"/>
      <c r="P148" s="1216"/>
      <c r="Q148" s="1216"/>
      <c r="R148" s="1692"/>
      <c r="S148" s="1216"/>
      <c r="T148" s="1216"/>
      <c r="U148" s="600"/>
      <c r="V148" s="1216"/>
      <c r="W148" s="1216"/>
      <c r="X148" s="1216"/>
      <c r="Y148" s="1216"/>
      <c r="Z148" s="1216"/>
      <c r="AA148" s="1688"/>
      <c r="AB148" s="622"/>
      <c r="AC148" s="622"/>
      <c r="AD148" s="622"/>
      <c r="AE148" s="622"/>
      <c r="AF148" s="1697">
        <v>11</v>
      </c>
    </row>
    <row s="3442" customFormat="1" customHeight="1" ht="11.549999999999999">
      <c r="A149" s="1043"/>
      <c r="B149" s="1692"/>
      <c r="C149" s="1692"/>
      <c r="D149" s="407"/>
      <c r="K149" s="1216"/>
      <c r="L149" s="1692"/>
      <c r="M149" s="1692"/>
      <c r="N149" s="1216"/>
      <c r="O149" s="1216"/>
      <c r="P149" s="1216"/>
      <c r="Q149" s="1216"/>
      <c r="R149" s="1692"/>
      <c r="S149" s="1216"/>
      <c r="T149" s="1216"/>
      <c r="U149" s="600"/>
      <c r="V149" s="1216"/>
      <c r="W149" s="1216"/>
      <c r="X149" s="1216"/>
      <c r="Y149" s="1216"/>
      <c r="Z149" s="1216"/>
      <c r="AA149" s="1688"/>
      <c r="AB149" s="622"/>
      <c r="AC149" s="622"/>
      <c r="AD149" s="622"/>
      <c r="AE149" s="622"/>
      <c r="AF149" s="1697">
        <v>11</v>
      </c>
    </row>
    <row s="3442" customFormat="1" customHeight="1" ht="11.549999999999999">
      <c r="A150" s="1043"/>
      <c r="B150" s="1692"/>
      <c r="C150" s="1692"/>
      <c r="D150" s="407"/>
      <c r="K150" s="1216"/>
      <c r="L150" s="1692"/>
      <c r="M150" s="1692"/>
      <c r="N150" s="1216"/>
      <c r="O150" s="1216"/>
      <c r="P150" s="1216"/>
      <c r="Q150" s="1216"/>
      <c r="R150" s="1692"/>
      <c r="S150" s="1216"/>
      <c r="T150" s="1216"/>
      <c r="U150" s="600"/>
      <c r="V150" s="1216"/>
      <c r="W150" s="1216"/>
      <c r="X150" s="1216"/>
      <c r="Y150" s="1216"/>
      <c r="Z150" s="1216"/>
      <c r="AA150" s="1688"/>
      <c r="AB150" s="622"/>
      <c r="AC150" s="622"/>
      <c r="AD150" s="622"/>
      <c r="AE150" s="622"/>
      <c r="AF150" s="1697">
        <v>11</v>
      </c>
    </row>
    <row s="3442" customFormat="1" customHeight="1" ht="11.549999999999999">
      <c r="A151" s="1043"/>
      <c r="B151" s="1692"/>
      <c r="C151" s="1692"/>
      <c r="D151" s="407"/>
      <c r="K151" s="1216"/>
      <c r="L151" s="1692"/>
      <c r="M151" s="1692"/>
      <c r="N151" s="1216"/>
      <c r="O151" s="1216"/>
      <c r="P151" s="1216"/>
      <c r="Q151" s="1216"/>
      <c r="R151" s="1692"/>
      <c r="S151" s="1216"/>
      <c r="T151" s="1216"/>
      <c r="U151" s="600"/>
      <c r="V151" s="1216"/>
      <c r="W151" s="1216"/>
      <c r="X151" s="1216"/>
      <c r="Y151" s="1216"/>
      <c r="Z151" s="1216"/>
      <c r="AA151" s="1688"/>
      <c r="AB151" s="622"/>
      <c r="AC151" s="622"/>
      <c r="AD151" s="622"/>
      <c r="AE151" s="622"/>
      <c r="AF151" s="1697">
        <v>11</v>
      </c>
    </row>
    <row s="3442" customFormat="1" customHeight="1" ht="11.549999999999999">
      <c r="A152" s="1043"/>
      <c r="B152" s="1692"/>
      <c r="C152" s="1692"/>
      <c r="D152" s="407"/>
      <c r="K152" s="1216"/>
      <c r="L152" s="1692"/>
      <c r="M152" s="1692"/>
      <c r="N152" s="1216"/>
      <c r="O152" s="1216"/>
      <c r="P152" s="1216"/>
      <c r="Q152" s="1216"/>
      <c r="R152" s="1692"/>
      <c r="S152" s="1216"/>
      <c r="T152" s="1216"/>
      <c r="U152" s="600"/>
      <c r="V152" s="1216"/>
      <c r="W152" s="1216"/>
      <c r="X152" s="1216"/>
      <c r="Y152" s="1216"/>
      <c r="Z152" s="1216"/>
      <c r="AA152" s="1688"/>
      <c r="AB152" s="622"/>
      <c r="AC152" s="622"/>
      <c r="AD152" s="622"/>
      <c r="AE152" s="622"/>
      <c r="AF152" s="1697">
        <v>11</v>
      </c>
    </row>
    <row s="3442" customFormat="1" customHeight="1" ht="11.549999999999999">
      <c r="A153" s="1043"/>
      <c r="B153" s="1692"/>
      <c r="C153" s="1692"/>
      <c r="D153" s="407"/>
      <c r="K153" s="1216"/>
      <c r="L153" s="1692"/>
      <c r="M153" s="1692"/>
      <c r="N153" s="1216"/>
      <c r="O153" s="1216"/>
      <c r="P153" s="1216"/>
      <c r="Q153" s="1216"/>
      <c r="R153" s="1692"/>
      <c r="S153" s="1216"/>
      <c r="T153" s="1216"/>
      <c r="U153" s="600"/>
      <c r="V153" s="1216"/>
      <c r="W153" s="1216"/>
      <c r="X153" s="1216"/>
      <c r="Y153" s="1216"/>
      <c r="Z153" s="1216"/>
      <c r="AA153" s="1688"/>
      <c r="AB153" s="622"/>
      <c r="AC153" s="622"/>
      <c r="AD153" s="622"/>
      <c r="AE153" s="622"/>
      <c r="AF153" s="1697">
        <v>11</v>
      </c>
    </row>
    <row s="3442" customFormat="1" customHeight="1" ht="11.549999999999999">
      <c r="A154" s="1043"/>
      <c r="B154" s="1692"/>
      <c r="C154" s="1692"/>
      <c r="D154" s="407"/>
      <c r="K154" s="1216"/>
      <c r="L154" s="1692"/>
      <c r="M154" s="1692"/>
      <c r="N154" s="1216"/>
      <c r="O154" s="1216"/>
      <c r="P154" s="1216"/>
      <c r="Q154" s="1216"/>
      <c r="R154" s="1692"/>
      <c r="S154" s="1216"/>
      <c r="T154" s="1216"/>
      <c r="U154" s="600"/>
      <c r="V154" s="1216"/>
      <c r="W154" s="1216"/>
      <c r="X154" s="1216"/>
      <c r="Y154" s="1216"/>
      <c r="Z154" s="1216"/>
      <c r="AA154" s="1688"/>
      <c r="AB154" s="622"/>
      <c r="AC154" s="622"/>
      <c r="AD154" s="622"/>
      <c r="AE154" s="622"/>
      <c r="AF154" s="1697">
        <v>11</v>
      </c>
    </row>
    <row s="3442" customFormat="1" customHeight="1" ht="11.549999999999999">
      <c r="A155" s="1043"/>
      <c r="B155" s="1692"/>
      <c r="C155" s="1692"/>
      <c r="D155" s="407"/>
      <c r="K155" s="1216"/>
      <c r="L155" s="1692"/>
      <c r="M155" s="1692"/>
      <c r="N155" s="1216"/>
      <c r="O155" s="1216"/>
      <c r="P155" s="1216"/>
      <c r="Q155" s="1216"/>
      <c r="R155" s="1692"/>
      <c r="S155" s="1216"/>
      <c r="T155" s="1216"/>
      <c r="U155" s="600"/>
      <c r="V155" s="1216"/>
      <c r="W155" s="1216"/>
      <c r="X155" s="1216"/>
      <c r="Y155" s="1216"/>
      <c r="Z155" s="1216"/>
      <c r="AA155" s="1688"/>
      <c r="AB155" s="622"/>
      <c r="AC155" s="622"/>
      <c r="AD155" s="622"/>
      <c r="AE155" s="622"/>
      <c r="AF155" s="1697">
        <v>11</v>
      </c>
    </row>
    <row s="3442" customFormat="1" customHeight="1" ht="11.549999999999999">
      <c r="A156" s="1043"/>
      <c r="B156" s="1692"/>
      <c r="C156" s="1692"/>
      <c r="D156" s="407"/>
      <c r="K156" s="1216"/>
      <c r="L156" s="1692"/>
      <c r="M156" s="1692"/>
      <c r="N156" s="1216"/>
      <c r="O156" s="1216"/>
      <c r="P156" s="1216"/>
      <c r="Q156" s="1216"/>
      <c r="R156" s="1692"/>
      <c r="S156" s="1216"/>
      <c r="T156" s="1216"/>
      <c r="U156" s="600"/>
      <c r="V156" s="1216"/>
      <c r="W156" s="1216"/>
      <c r="X156" s="1216"/>
      <c r="Y156" s="1216"/>
      <c r="Z156" s="1216"/>
      <c r="AA156" s="1688"/>
      <c r="AB156" s="622"/>
      <c r="AC156" s="622"/>
      <c r="AD156" s="622"/>
      <c r="AE156" s="622"/>
      <c r="AF156" s="1697">
        <v>11</v>
      </c>
    </row>
    <row s="3442" customFormat="1" customHeight="1" ht="11.549999999999999">
      <c r="A157" s="1043"/>
      <c r="B157" s="1692"/>
      <c r="C157" s="1692"/>
      <c r="D157" s="407"/>
      <c r="K157" s="1216"/>
      <c r="L157" s="1692"/>
      <c r="M157" s="1692"/>
      <c r="N157" s="1216"/>
      <c r="O157" s="1216"/>
      <c r="P157" s="1216"/>
      <c r="Q157" s="1216"/>
      <c r="R157" s="1692"/>
      <c r="S157" s="1216"/>
      <c r="T157" s="1216"/>
      <c r="U157" s="600"/>
      <c r="V157" s="1216"/>
      <c r="W157" s="1216"/>
      <c r="X157" s="1216"/>
      <c r="Y157" s="1216"/>
      <c r="Z157" s="1216"/>
      <c r="AA157" s="1688"/>
      <c r="AB157" s="622"/>
      <c r="AC157" s="622"/>
      <c r="AD157" s="622"/>
      <c r="AE157" s="622"/>
      <c r="AF157" s="1697">
        <v>11</v>
      </c>
    </row>
    <row s="3442" customFormat="1" customHeight="1" ht="11.549999999999999">
      <c r="A158" s="1043"/>
      <c r="B158" s="1692"/>
      <c r="C158" s="1692"/>
      <c r="D158" s="407"/>
      <c r="K158" s="1216"/>
      <c r="L158" s="1692"/>
      <c r="M158" s="1692"/>
      <c r="N158" s="1216"/>
      <c r="O158" s="1216"/>
      <c r="P158" s="1216"/>
      <c r="Q158" s="1216"/>
      <c r="R158" s="1692"/>
      <c r="S158" s="1216"/>
      <c r="T158" s="1216"/>
      <c r="U158" s="600"/>
      <c r="V158" s="1216"/>
      <c r="W158" s="1216"/>
      <c r="X158" s="1216"/>
      <c r="Y158" s="1216"/>
      <c r="Z158" s="1216"/>
      <c r="AA158" s="1688"/>
      <c r="AB158" s="622"/>
      <c r="AC158" s="622"/>
      <c r="AD158" s="622"/>
      <c r="AE158" s="622"/>
      <c r="AF158" s="1697">
        <v>11</v>
      </c>
    </row>
    <row s="3442" customFormat="1" customHeight="1" ht="11.549999999999999">
      <c r="A159" s="1043"/>
      <c r="B159" s="1692"/>
      <c r="C159" s="1692"/>
      <c r="D159" s="407"/>
      <c r="K159" s="1216"/>
      <c r="L159" s="1692"/>
      <c r="M159" s="1692"/>
      <c r="N159" s="1216"/>
      <c r="O159" s="1216"/>
      <c r="P159" s="1216"/>
      <c r="Q159" s="1216"/>
      <c r="R159" s="1692"/>
      <c r="S159" s="1216"/>
      <c r="T159" s="1216"/>
      <c r="U159" s="600"/>
      <c r="V159" s="1216"/>
      <c r="W159" s="1216"/>
      <c r="X159" s="1216"/>
      <c r="Y159" s="1216"/>
      <c r="Z159" s="1216"/>
      <c r="AA159" s="1688"/>
      <c r="AB159" s="622"/>
      <c r="AC159" s="622"/>
      <c r="AD159" s="622"/>
      <c r="AE159" s="622"/>
      <c r="AF159" s="1697">
        <v>11</v>
      </c>
    </row>
    <row s="3442" customFormat="1" customHeight="1" ht="11.549999999999999">
      <c r="A160" s="1043"/>
      <c r="B160" s="1692"/>
      <c r="C160" s="1692"/>
      <c r="D160" s="407"/>
      <c r="K160" s="1216"/>
      <c r="L160" s="1692"/>
      <c r="M160" s="1692"/>
      <c r="N160" s="1216"/>
      <c r="O160" s="1216"/>
      <c r="P160" s="1216"/>
      <c r="Q160" s="1216"/>
      <c r="R160" s="1692"/>
      <c r="S160" s="1216"/>
      <c r="T160" s="1216"/>
      <c r="U160" s="600"/>
      <c r="V160" s="1216"/>
      <c r="W160" s="1216"/>
      <c r="X160" s="1216"/>
      <c r="Y160" s="1216"/>
      <c r="Z160" s="1216"/>
      <c r="AA160" s="1688"/>
      <c r="AB160" s="622"/>
      <c r="AC160" s="622"/>
      <c r="AD160" s="622"/>
      <c r="AE160" s="622"/>
      <c r="AF160" s="1697">
        <v>11</v>
      </c>
    </row>
    <row s="3442" customFormat="1" customHeight="1" ht="11.549999999999999">
      <c r="A161" s="1043"/>
      <c r="B161" s="1692"/>
      <c r="C161" s="1692"/>
      <c r="D161" s="407"/>
      <c r="K161" s="1216"/>
      <c r="L161" s="1692"/>
      <c r="M161" s="1692"/>
      <c r="N161" s="1216"/>
      <c r="O161" s="1216"/>
      <c r="P161" s="1216"/>
      <c r="Q161" s="1216"/>
      <c r="R161" s="1692"/>
      <c r="S161" s="1216"/>
      <c r="T161" s="1216"/>
      <c r="U161" s="600"/>
      <c r="V161" s="1216"/>
      <c r="W161" s="1216"/>
      <c r="X161" s="1216"/>
      <c r="Y161" s="1216"/>
      <c r="Z161" s="1216"/>
      <c r="AA161" s="1688"/>
      <c r="AB161" s="622"/>
      <c r="AC161" s="622"/>
      <c r="AD161" s="622"/>
      <c r="AE161" s="622"/>
      <c r="AF161" s="1697">
        <v>11</v>
      </c>
    </row>
    <row s="3442" customFormat="1" customHeight="1" ht="11.549999999999999">
      <c r="A162" s="1043"/>
      <c r="B162" s="1692"/>
      <c r="C162" s="1692"/>
      <c r="D162" s="407"/>
      <c r="K162" s="1216"/>
      <c r="L162" s="1692"/>
      <c r="M162" s="1692"/>
      <c r="N162" s="1216"/>
      <c r="O162" s="1216"/>
      <c r="P162" s="1216"/>
      <c r="Q162" s="1216"/>
      <c r="R162" s="1692"/>
      <c r="S162" s="1216"/>
      <c r="T162" s="1216"/>
      <c r="U162" s="600"/>
      <c r="V162" s="1216"/>
      <c r="W162" s="1216"/>
      <c r="X162" s="1216"/>
      <c r="Y162" s="1216"/>
      <c r="Z162" s="1216"/>
      <c r="AA162" s="1688"/>
      <c r="AB162" s="622"/>
      <c r="AC162" s="622"/>
      <c r="AD162" s="622"/>
      <c r="AE162" s="622"/>
      <c r="AF162" s="1697">
        <v>11</v>
      </c>
    </row>
    <row s="3442" customFormat="1" customHeight="1" ht="11.549999999999999">
      <c r="A163" s="1043"/>
      <c r="B163" s="1692"/>
      <c r="C163" s="1692"/>
      <c r="D163" s="407"/>
      <c r="K163" s="1216"/>
      <c r="L163" s="1692"/>
      <c r="M163" s="1692"/>
      <c r="N163" s="1216"/>
      <c r="O163" s="1216"/>
      <c r="P163" s="1216"/>
      <c r="Q163" s="1216"/>
      <c r="R163" s="1692"/>
      <c r="S163" s="1216"/>
      <c r="T163" s="1216"/>
      <c r="U163" s="600"/>
      <c r="V163" s="1216"/>
      <c r="W163" s="1216"/>
      <c r="X163" s="1216"/>
      <c r="Y163" s="1216"/>
      <c r="Z163" s="1216"/>
      <c r="AA163" s="1688"/>
      <c r="AB163" s="622"/>
      <c r="AC163" s="622"/>
      <c r="AD163" s="622"/>
      <c r="AE163" s="622"/>
      <c r="AF163" s="1697">
        <v>11</v>
      </c>
    </row>
    <row s="3442" customFormat="1" customHeight="1" ht="11.549999999999999">
      <c r="A164" s="1043"/>
      <c r="B164" s="1692"/>
      <c r="C164" s="1692"/>
      <c r="D164" s="407"/>
      <c r="K164" s="1216"/>
      <c r="L164" s="1692"/>
      <c r="M164" s="1692"/>
      <c r="N164" s="1216"/>
      <c r="O164" s="1216"/>
      <c r="P164" s="1216"/>
      <c r="Q164" s="1216"/>
      <c r="R164" s="1692"/>
      <c r="S164" s="1216"/>
      <c r="T164" s="1216"/>
      <c r="U164" s="600"/>
      <c r="V164" s="1216"/>
      <c r="W164" s="1216"/>
      <c r="X164" s="1216"/>
      <c r="Y164" s="1216"/>
      <c r="Z164" s="1216"/>
      <c r="AA164" s="1688"/>
      <c r="AB164" s="622"/>
      <c r="AC164" s="622"/>
      <c r="AD164" s="622"/>
      <c r="AE164" s="622"/>
      <c r="AF164" s="1697">
        <v>11</v>
      </c>
    </row>
    <row s="3442" customFormat="1" customHeight="1" ht="11.549999999999999">
      <c r="A165" s="1043"/>
      <c r="B165" s="1692"/>
      <c r="C165" s="1692"/>
      <c r="D165" s="407"/>
      <c r="K165" s="1216"/>
      <c r="L165" s="1692"/>
      <c r="M165" s="1692"/>
      <c r="N165" s="1216"/>
      <c r="O165" s="1216"/>
      <c r="P165" s="1216"/>
      <c r="Q165" s="1216"/>
      <c r="R165" s="1692"/>
      <c r="S165" s="1216"/>
      <c r="T165" s="1216"/>
      <c r="U165" s="600"/>
      <c r="V165" s="1216"/>
      <c r="W165" s="1216"/>
      <c r="X165" s="1216"/>
      <c r="Y165" s="1216"/>
      <c r="Z165" s="1216"/>
      <c r="AA165" s="1688"/>
      <c r="AB165" s="622"/>
      <c r="AC165" s="622"/>
      <c r="AD165" s="622"/>
      <c r="AE165" s="622"/>
      <c r="AF165" s="1697">
        <v>11</v>
      </c>
    </row>
    <row s="3442" customFormat="1" customHeight="1" ht="11.549999999999999">
      <c r="A166" s="1043"/>
      <c r="B166" s="1692"/>
      <c r="C166" s="1692"/>
      <c r="D166" s="407"/>
      <c r="K166" s="1216"/>
      <c r="L166" s="1692"/>
      <c r="M166" s="1692"/>
      <c r="N166" s="1216"/>
      <c r="O166" s="1216"/>
      <c r="P166" s="1216"/>
      <c r="Q166" s="1216"/>
      <c r="R166" s="1692"/>
      <c r="S166" s="1216"/>
      <c r="T166" s="1216"/>
      <c r="U166" s="600"/>
      <c r="V166" s="1216"/>
      <c r="W166" s="1216"/>
      <c r="X166" s="1216"/>
      <c r="Y166" s="1216"/>
      <c r="Z166" s="1216"/>
      <c r="AA166" s="1688"/>
      <c r="AB166" s="622"/>
      <c r="AC166" s="622"/>
      <c r="AD166" s="622"/>
      <c r="AE166" s="622"/>
      <c r="AF166" s="1697">
        <v>11</v>
      </c>
    </row>
    <row s="3442" customFormat="1" customHeight="1" ht="11.549999999999999">
      <c r="A167" s="1043"/>
      <c r="B167" s="1692"/>
      <c r="C167" s="1692"/>
      <c r="D167" s="407"/>
      <c r="K167" s="1216"/>
      <c r="L167" s="1692"/>
      <c r="M167" s="1692"/>
      <c r="N167" s="1216"/>
      <c r="O167" s="1216"/>
      <c r="P167" s="1216"/>
      <c r="Q167" s="1216"/>
      <c r="R167" s="1692"/>
      <c r="S167" s="1216"/>
      <c r="T167" s="1216"/>
      <c r="U167" s="600"/>
      <c r="V167" s="1216"/>
      <c r="W167" s="1216"/>
      <c r="X167" s="1216"/>
      <c r="Y167" s="1216"/>
      <c r="Z167" s="1216"/>
      <c r="AA167" s="1688"/>
      <c r="AB167" s="622"/>
      <c r="AC167" s="622"/>
      <c r="AD167" s="622"/>
      <c r="AE167" s="622"/>
      <c r="AF167" s="1697">
        <v>11</v>
      </c>
    </row>
    <row s="3442" customFormat="1" customHeight="1" ht="11.549999999999999">
      <c r="A168" s="1043"/>
      <c r="B168" s="1692"/>
      <c r="C168" s="1692"/>
      <c r="D168" s="407"/>
      <c r="K168" s="1216"/>
      <c r="L168" s="1692"/>
      <c r="M168" s="1692"/>
      <c r="N168" s="1216"/>
      <c r="O168" s="1216"/>
      <c r="P168" s="1216"/>
      <c r="Q168" s="1216"/>
      <c r="R168" s="1692"/>
      <c r="S168" s="1216"/>
      <c r="T168" s="1216"/>
      <c r="U168" s="600"/>
      <c r="V168" s="1216"/>
      <c r="W168" s="1216"/>
      <c r="X168" s="1216"/>
      <c r="Y168" s="1216"/>
      <c r="Z168" s="1216"/>
      <c r="AA168" s="1688"/>
      <c r="AB168" s="622"/>
      <c r="AC168" s="622"/>
      <c r="AD168" s="622"/>
      <c r="AE168" s="622"/>
      <c r="AF168" s="1697">
        <v>11</v>
      </c>
    </row>
    <row s="3442" customFormat="1" customHeight="1" ht="11.549999999999999">
      <c r="A169" s="1043"/>
      <c r="B169" s="1692"/>
      <c r="C169" s="1692"/>
      <c r="D169" s="407"/>
      <c r="K169" s="1216"/>
      <c r="L169" s="1692"/>
      <c r="M169" s="1692"/>
      <c r="N169" s="1216"/>
      <c r="O169" s="1216"/>
      <c r="P169" s="1216"/>
      <c r="Q169" s="1216"/>
      <c r="R169" s="1692"/>
      <c r="S169" s="1216"/>
      <c r="T169" s="1216"/>
      <c r="U169" s="600"/>
      <c r="V169" s="1216"/>
      <c r="W169" s="1216"/>
      <c r="X169" s="1216"/>
      <c r="Y169" s="1216"/>
      <c r="Z169" s="1216"/>
      <c r="AA169" s="1688"/>
      <c r="AB169" s="622"/>
      <c r="AC169" s="622"/>
      <c r="AD169" s="622"/>
      <c r="AE169" s="622"/>
      <c r="AF169" s="1697">
        <v>11</v>
      </c>
    </row>
    <row s="3442" customFormat="1" customHeight="1" ht="11.549999999999999">
      <c r="A170" s="1043"/>
      <c r="B170" s="1692"/>
      <c r="C170" s="1692"/>
      <c r="D170" s="407"/>
      <c r="K170" s="1216"/>
      <c r="L170" s="1692"/>
      <c r="M170" s="1692"/>
      <c r="N170" s="1216"/>
      <c r="O170" s="1216"/>
      <c r="P170" s="1216"/>
      <c r="Q170" s="1216"/>
      <c r="R170" s="1692"/>
      <c r="S170" s="1216"/>
      <c r="T170" s="1216"/>
      <c r="U170" s="600"/>
      <c r="V170" s="1216"/>
      <c r="W170" s="1216"/>
      <c r="X170" s="1216"/>
      <c r="Y170" s="1216"/>
      <c r="Z170" s="1216"/>
      <c r="AA170" s="1688"/>
      <c r="AB170" s="622"/>
      <c r="AC170" s="622"/>
      <c r="AD170" s="622"/>
      <c r="AE170" s="622"/>
      <c r="AF170" s="1697">
        <v>11</v>
      </c>
    </row>
    <row s="3442" customFormat="1" customHeight="1" ht="11.549999999999999">
      <c r="A171" s="1043"/>
      <c r="B171" s="1692"/>
      <c r="C171" s="1692"/>
      <c r="D171" s="407"/>
      <c r="K171" s="1216"/>
      <c r="L171" s="1692"/>
      <c r="M171" s="1692"/>
      <c r="N171" s="1216"/>
      <c r="O171" s="1216"/>
      <c r="P171" s="1216"/>
      <c r="Q171" s="1216"/>
      <c r="R171" s="1692"/>
      <c r="S171" s="1216"/>
      <c r="T171" s="1216"/>
      <c r="U171" s="600"/>
      <c r="V171" s="1216"/>
      <c r="W171" s="1216"/>
      <c r="X171" s="1216"/>
      <c r="Y171" s="1216"/>
      <c r="Z171" s="1216"/>
      <c r="AA171" s="1688"/>
      <c r="AB171" s="622"/>
      <c r="AC171" s="622"/>
      <c r="AD171" s="622"/>
      <c r="AE171" s="622"/>
      <c r="AF171" s="1697">
        <v>11</v>
      </c>
    </row>
    <row s="3442" customFormat="1" customHeight="1" ht="11.549999999999999">
      <c r="A172" s="1043"/>
      <c r="B172" s="1692"/>
      <c r="C172" s="1692"/>
      <c r="D172" s="407"/>
      <c r="K172" s="1216"/>
      <c r="L172" s="1692"/>
      <c r="M172" s="1692"/>
      <c r="N172" s="1216"/>
      <c r="O172" s="1216"/>
      <c r="P172" s="1216"/>
      <c r="Q172" s="1216"/>
      <c r="R172" s="1692"/>
      <c r="S172" s="1216"/>
      <c r="T172" s="1216"/>
      <c r="U172" s="600"/>
      <c r="V172" s="1216"/>
      <c r="W172" s="1216"/>
      <c r="X172" s="1216"/>
      <c r="Y172" s="1216"/>
      <c r="Z172" s="1216"/>
      <c r="AA172" s="1688"/>
      <c r="AB172" s="622"/>
      <c r="AC172" s="622"/>
      <c r="AD172" s="622"/>
      <c r="AE172" s="622"/>
      <c r="AF172" s="1697">
        <v>11</v>
      </c>
    </row>
    <row s="3442" customFormat="1" customHeight="1" ht="11.549999999999999">
      <c r="A173" s="1043"/>
      <c r="B173" s="1692"/>
      <c r="C173" s="1692"/>
      <c r="D173" s="407"/>
      <c r="K173" s="1216"/>
      <c r="L173" s="1692"/>
      <c r="M173" s="1692"/>
      <c r="N173" s="1216"/>
      <c r="O173" s="1216"/>
      <c r="P173" s="1216"/>
      <c r="Q173" s="1216"/>
      <c r="R173" s="1692"/>
      <c r="S173" s="1216"/>
      <c r="T173" s="1216"/>
      <c r="U173" s="600"/>
      <c r="V173" s="1216"/>
      <c r="W173" s="1216"/>
      <c r="X173" s="1216"/>
      <c r="Y173" s="1216"/>
      <c r="Z173" s="1216"/>
      <c r="AA173" s="1688"/>
      <c r="AB173" s="622"/>
      <c r="AC173" s="622"/>
      <c r="AD173" s="622"/>
      <c r="AE173" s="622"/>
      <c r="AF173" s="1697">
        <v>11</v>
      </c>
    </row>
    <row s="3442" customFormat="1" customHeight="1" ht="11.549999999999999">
      <c r="A174" s="1043"/>
      <c r="B174" s="1692"/>
      <c r="C174" s="1692"/>
      <c r="D174" s="407"/>
      <c r="K174" s="1216"/>
      <c r="L174" s="1692"/>
      <c r="M174" s="1692"/>
      <c r="N174" s="1216"/>
      <c r="O174" s="1216"/>
      <c r="P174" s="1216"/>
      <c r="Q174" s="1216"/>
      <c r="R174" s="1692"/>
      <c r="S174" s="1216"/>
      <c r="T174" s="1216"/>
      <c r="U174" s="600"/>
      <c r="V174" s="1216"/>
      <c r="W174" s="1216"/>
      <c r="X174" s="1216"/>
      <c r="Y174" s="1216"/>
      <c r="Z174" s="1216"/>
      <c r="AA174" s="1688"/>
      <c r="AB174" s="622"/>
      <c r="AC174" s="622"/>
      <c r="AD174" s="622"/>
      <c r="AE174" s="622"/>
      <c r="AF174" s="1697">
        <v>11</v>
      </c>
    </row>
    <row s="3442" customFormat="1" customHeight="1" ht="11.549999999999999">
      <c r="A175" s="1043"/>
      <c r="B175" s="1692"/>
      <c r="C175" s="1692"/>
      <c r="D175" s="407"/>
      <c r="K175" s="1216"/>
      <c r="L175" s="1692"/>
      <c r="M175" s="1692"/>
      <c r="N175" s="1216"/>
      <c r="O175" s="1216"/>
      <c r="P175" s="1216"/>
      <c r="Q175" s="1216"/>
      <c r="R175" s="1692"/>
      <c r="S175" s="1216"/>
      <c r="T175" s="1216"/>
      <c r="U175" s="600"/>
      <c r="V175" s="1216"/>
      <c r="W175" s="1216"/>
      <c r="X175" s="1216"/>
      <c r="Y175" s="1216"/>
      <c r="Z175" s="1216"/>
      <c r="AA175" s="1688"/>
      <c r="AB175" s="622"/>
      <c r="AC175" s="622"/>
      <c r="AD175" s="622"/>
      <c r="AE175" s="622"/>
      <c r="AF175" s="1697">
        <v>11</v>
      </c>
    </row>
    <row s="3442" customFormat="1" customHeight="1" ht="11.549999999999999">
      <c r="A176" s="1043"/>
      <c r="B176" s="1692"/>
      <c r="C176" s="1692"/>
      <c r="D176" s="407"/>
      <c r="K176" s="1216"/>
      <c r="L176" s="1692"/>
      <c r="M176" s="1692"/>
      <c r="N176" s="1216"/>
      <c r="O176" s="1216"/>
      <c r="P176" s="1216"/>
      <c r="Q176" s="1216"/>
      <c r="R176" s="1692"/>
      <c r="S176" s="1216"/>
      <c r="T176" s="1216"/>
      <c r="U176" s="600"/>
      <c r="V176" s="1216"/>
      <c r="W176" s="1216"/>
      <c r="X176" s="1216"/>
      <c r="Y176" s="1216"/>
      <c r="Z176" s="1216"/>
      <c r="AA176" s="1688"/>
      <c r="AB176" s="622"/>
      <c r="AC176" s="622"/>
      <c r="AD176" s="622"/>
      <c r="AE176" s="622"/>
      <c r="AF176" s="1697">
        <v>11</v>
      </c>
    </row>
    <row s="3442" customFormat="1" customHeight="1" ht="11.549999999999999">
      <c r="A177" s="1043"/>
      <c r="B177" s="1692"/>
      <c r="C177" s="1692"/>
      <c r="D177" s="407"/>
      <c r="K177" s="1216"/>
      <c r="L177" s="1692"/>
      <c r="M177" s="1692"/>
      <c r="N177" s="1216"/>
      <c r="O177" s="1216"/>
      <c r="P177" s="1216"/>
      <c r="Q177" s="1216"/>
      <c r="R177" s="1692"/>
      <c r="S177" s="1216"/>
      <c r="T177" s="1216"/>
      <c r="U177" s="600"/>
      <c r="V177" s="1216"/>
      <c r="W177" s="1216"/>
      <c r="X177" s="1216"/>
      <c r="Y177" s="1216"/>
      <c r="Z177" s="1216"/>
      <c r="AA177" s="1688"/>
      <c r="AB177" s="622"/>
      <c r="AC177" s="622"/>
      <c r="AD177" s="622"/>
      <c r="AE177" s="622"/>
      <c r="AF177" s="1697">
        <v>11</v>
      </c>
    </row>
    <row s="3442" customFormat="1" customHeight="1" ht="11.549999999999999">
      <c r="A178" s="1043"/>
      <c r="B178" s="1692"/>
      <c r="C178" s="1692"/>
      <c r="D178" s="407"/>
      <c r="K178" s="1216"/>
      <c r="L178" s="1692"/>
      <c r="M178" s="1692"/>
      <c r="N178" s="1216"/>
      <c r="O178" s="1216"/>
      <c r="P178" s="1216"/>
      <c r="Q178" s="1216"/>
      <c r="R178" s="1692"/>
      <c r="S178" s="1216"/>
      <c r="T178" s="1216"/>
      <c r="U178" s="600"/>
      <c r="V178" s="1216"/>
      <c r="W178" s="1216"/>
      <c r="X178" s="1216"/>
      <c r="Y178" s="1216"/>
      <c r="Z178" s="1216"/>
      <c r="AA178" s="1688"/>
      <c r="AB178" s="622"/>
      <c r="AC178" s="622"/>
      <c r="AD178" s="622"/>
      <c r="AE178" s="622"/>
      <c r="AF178" s="1697">
        <v>11</v>
      </c>
    </row>
    <row s="3442" customFormat="1" customHeight="1" ht="11.549999999999999">
      <c r="A179" s="1043"/>
      <c r="B179" s="1692"/>
      <c r="C179" s="1692"/>
      <c r="D179" s="407"/>
      <c r="K179" s="1216"/>
      <c r="L179" s="1692"/>
      <c r="M179" s="1692"/>
      <c r="N179" s="1216"/>
      <c r="O179" s="1216"/>
      <c r="P179" s="1216"/>
      <c r="Q179" s="1216"/>
      <c r="R179" s="1692"/>
      <c r="S179" s="1216"/>
      <c r="T179" s="1216"/>
      <c r="U179" s="600"/>
      <c r="V179" s="1216"/>
      <c r="W179" s="1216"/>
      <c r="X179" s="1216"/>
      <c r="Y179" s="1216"/>
      <c r="Z179" s="1216"/>
      <c r="AA179" s="1688"/>
      <c r="AB179" s="622"/>
      <c r="AC179" s="622"/>
      <c r="AD179" s="622"/>
      <c r="AE179" s="622"/>
      <c r="AF179" s="1697">
        <v>11</v>
      </c>
    </row>
    <row s="3442" customFormat="1" customHeight="1" ht="11.549999999999999">
      <c r="A180" s="1043"/>
      <c r="B180" s="1692"/>
      <c r="C180" s="1692"/>
      <c r="D180" s="407"/>
      <c r="K180" s="1216"/>
      <c r="L180" s="1692"/>
      <c r="M180" s="1692"/>
      <c r="N180" s="1216"/>
      <c r="O180" s="1216"/>
      <c r="P180" s="1216"/>
      <c r="Q180" s="1216"/>
      <c r="R180" s="1692"/>
      <c r="S180" s="1216"/>
      <c r="T180" s="1216"/>
      <c r="U180" s="600"/>
      <c r="V180" s="1216"/>
      <c r="W180" s="1216"/>
      <c r="X180" s="1216"/>
      <c r="Y180" s="1216"/>
      <c r="Z180" s="1216"/>
      <c r="AA180" s="1688"/>
      <c r="AB180" s="622"/>
      <c r="AC180" s="622"/>
      <c r="AD180" s="622"/>
      <c r="AE180" s="622"/>
      <c r="AF180" s="1697">
        <v>11</v>
      </c>
    </row>
    <row s="3442" customFormat="1" customHeight="1" ht="11.549999999999999">
      <c r="A181" s="1043"/>
      <c r="B181" s="1692"/>
      <c r="C181" s="1692"/>
      <c r="D181" s="407"/>
      <c r="K181" s="1216"/>
      <c r="L181" s="1692"/>
      <c r="M181" s="1692"/>
      <c r="N181" s="1216"/>
      <c r="O181" s="1216"/>
      <c r="P181" s="1216"/>
      <c r="Q181" s="1216"/>
      <c r="R181" s="1692"/>
      <c r="S181" s="1216"/>
      <c r="T181" s="1216"/>
      <c r="U181" s="600"/>
      <c r="V181" s="1216"/>
      <c r="W181" s="1216"/>
      <c r="X181" s="1216"/>
      <c r="Y181" s="1216"/>
      <c r="Z181" s="1216"/>
      <c r="AA181" s="1688"/>
      <c r="AB181" s="622"/>
      <c r="AC181" s="622"/>
      <c r="AD181" s="622"/>
      <c r="AE181" s="622"/>
      <c r="AF181" s="1697">
        <v>11</v>
      </c>
    </row>
    <row s="3442" customFormat="1" customHeight="1" ht="11.549999999999999">
      <c r="A182" s="1043"/>
      <c r="B182" s="1692"/>
      <c r="C182" s="1692"/>
      <c r="D182" s="407"/>
      <c r="K182" s="1216"/>
      <c r="L182" s="1692"/>
      <c r="M182" s="1692"/>
      <c r="N182" s="1216"/>
      <c r="O182" s="1216"/>
      <c r="P182" s="1216"/>
      <c r="Q182" s="1216"/>
      <c r="R182" s="1692"/>
      <c r="S182" s="1216"/>
      <c r="T182" s="1216"/>
      <c r="U182" s="600"/>
      <c r="V182" s="1216"/>
      <c r="W182" s="1216"/>
      <c r="X182" s="1216"/>
      <c r="Y182" s="1216"/>
      <c r="Z182" s="1216"/>
      <c r="AA182" s="1688"/>
      <c r="AB182" s="622"/>
      <c r="AC182" s="622"/>
      <c r="AD182" s="622"/>
      <c r="AE182" s="622"/>
      <c r="AF182" s="1697">
        <v>11</v>
      </c>
    </row>
    <row s="3442" customFormat="1" customHeight="1" ht="11.549999999999999">
      <c r="A183" s="1043"/>
      <c r="B183" s="1692"/>
      <c r="C183" s="1692"/>
      <c r="D183" s="407"/>
      <c r="K183" s="1216"/>
      <c r="L183" s="1692"/>
      <c r="M183" s="1692"/>
      <c r="N183" s="1216"/>
      <c r="O183" s="1216"/>
      <c r="P183" s="1216"/>
      <c r="Q183" s="1216"/>
      <c r="R183" s="1692"/>
      <c r="S183" s="1216"/>
      <c r="T183" s="1216"/>
      <c r="U183" s="600"/>
      <c r="V183" s="1216"/>
      <c r="W183" s="1216"/>
      <c r="X183" s="1216"/>
      <c r="Y183" s="1216"/>
      <c r="Z183" s="1216"/>
      <c r="AA183" s="1688"/>
      <c r="AB183" s="622"/>
      <c r="AC183" s="622"/>
      <c r="AD183" s="622"/>
      <c r="AE183" s="622"/>
      <c r="AF183" s="1697">
        <v>11</v>
      </c>
    </row>
    <row s="3442" customFormat="1" customHeight="1" ht="11.549999999999999">
      <c r="A184" s="1043"/>
      <c r="B184" s="1692"/>
      <c r="C184" s="1692"/>
      <c r="D184" s="407"/>
      <c r="K184" s="1216"/>
      <c r="L184" s="1692"/>
      <c r="M184" s="1692"/>
      <c r="N184" s="1216"/>
      <c r="O184" s="1216"/>
      <c r="P184" s="1216"/>
      <c r="Q184" s="1216"/>
      <c r="R184" s="1692"/>
      <c r="S184" s="1216"/>
      <c r="T184" s="1216"/>
      <c r="U184" s="600"/>
      <c r="V184" s="1216"/>
      <c r="W184" s="1216"/>
      <c r="X184" s="1216"/>
      <c r="Y184" s="1216"/>
      <c r="Z184" s="1216"/>
      <c r="AA184" s="1688"/>
      <c r="AB184" s="622"/>
      <c r="AC184" s="622"/>
      <c r="AD184" s="622"/>
      <c r="AE184" s="622"/>
      <c r="AF184" s="1697">
        <v>11</v>
      </c>
    </row>
    <row s="3442" customFormat="1" customHeight="1" ht="11.549999999999999">
      <c r="A185" s="1043"/>
      <c r="B185" s="1692"/>
      <c r="C185" s="1692"/>
      <c r="D185" s="407"/>
      <c r="K185" s="1216"/>
      <c r="L185" s="1692"/>
      <c r="M185" s="1692"/>
      <c r="N185" s="1216"/>
      <c r="O185" s="1216"/>
      <c r="P185" s="1216"/>
      <c r="Q185" s="1216"/>
      <c r="R185" s="1692"/>
      <c r="S185" s="1216"/>
      <c r="T185" s="1216"/>
      <c r="U185" s="600"/>
      <c r="V185" s="1216"/>
      <c r="W185" s="1216"/>
      <c r="X185" s="1216"/>
      <c r="Y185" s="1216"/>
      <c r="Z185" s="1216"/>
      <c r="AA185" s="1688"/>
      <c r="AB185" s="622"/>
      <c r="AC185" s="622"/>
      <c r="AD185" s="622"/>
      <c r="AE185" s="622"/>
      <c r="AF185" s="1697">
        <v>11</v>
      </c>
    </row>
    <row s="3442" customFormat="1" customHeight="1" ht="11.549999999999999">
      <c r="A186" s="1043"/>
      <c r="B186" s="1692"/>
      <c r="C186" s="1692"/>
      <c r="D186" s="407"/>
      <c r="K186" s="1216"/>
      <c r="L186" s="1692"/>
      <c r="M186" s="1692"/>
      <c r="N186" s="1216"/>
      <c r="O186" s="1216"/>
      <c r="P186" s="1216"/>
      <c r="Q186" s="1216"/>
      <c r="R186" s="1692"/>
      <c r="S186" s="1216"/>
      <c r="T186" s="1216"/>
      <c r="U186" s="600"/>
      <c r="V186" s="1216"/>
      <c r="W186" s="1216"/>
      <c r="X186" s="1216"/>
      <c r="Y186" s="1216"/>
      <c r="Z186" s="1216"/>
      <c r="AA186" s="1688"/>
      <c r="AB186" s="622"/>
      <c r="AC186" s="622"/>
      <c r="AD186" s="622"/>
      <c r="AE186" s="622"/>
      <c r="AF186" s="1697">
        <v>11</v>
      </c>
    </row>
    <row s="3442" customFormat="1" customHeight="1" ht="11.549999999999999">
      <c r="A187" s="1043"/>
      <c r="B187" s="1692"/>
      <c r="C187" s="1692"/>
      <c r="D187" s="407"/>
      <c r="K187" s="1216"/>
      <c r="L187" s="1692"/>
      <c r="M187" s="1692"/>
      <c r="N187" s="1216"/>
      <c r="O187" s="1216"/>
      <c r="P187" s="1216"/>
      <c r="Q187" s="1216"/>
      <c r="R187" s="1692"/>
      <c r="S187" s="1216"/>
      <c r="T187" s="1216"/>
      <c r="U187" s="600"/>
      <c r="V187" s="1216"/>
      <c r="W187" s="1216"/>
      <c r="X187" s="1216"/>
      <c r="Y187" s="1216"/>
      <c r="Z187" s="1216"/>
      <c r="AA187" s="1688"/>
      <c r="AB187" s="622"/>
      <c r="AC187" s="622"/>
      <c r="AD187" s="622"/>
      <c r="AE187" s="622"/>
      <c r="AF187" s="1697">
        <v>11</v>
      </c>
    </row>
    <row s="3442" customFormat="1" customHeight="1" ht="11.549999999999999">
      <c r="A188" s="1043"/>
      <c r="B188" s="1692"/>
      <c r="C188" s="1692"/>
      <c r="D188" s="407"/>
      <c r="K188" s="1216"/>
      <c r="L188" s="1692"/>
      <c r="M188" s="1692"/>
      <c r="N188" s="1216"/>
      <c r="O188" s="1216"/>
      <c r="P188" s="1216"/>
      <c r="Q188" s="1216"/>
      <c r="R188" s="1692"/>
      <c r="S188" s="1216"/>
      <c r="T188" s="1216"/>
      <c r="U188" s="600"/>
      <c r="V188" s="1216"/>
      <c r="W188" s="1216"/>
      <c r="X188" s="1216"/>
      <c r="Y188" s="1216"/>
      <c r="Z188" s="1216"/>
      <c r="AA188" s="1688"/>
      <c r="AB188" s="622"/>
      <c r="AC188" s="622"/>
      <c r="AD188" s="622"/>
      <c r="AE188" s="622"/>
      <c r="AF188" s="1697">
        <v>11</v>
      </c>
    </row>
    <row s="3442" customFormat="1" customHeight="1" ht="11.549999999999999">
      <c r="A189" s="1043"/>
      <c r="B189" s="1692"/>
      <c r="C189" s="1692"/>
      <c r="D189" s="407"/>
      <c r="K189" s="1216"/>
      <c r="L189" s="1692"/>
      <c r="M189" s="1692"/>
      <c r="N189" s="1216"/>
      <c r="O189" s="1216"/>
      <c r="P189" s="1216"/>
      <c r="Q189" s="1216"/>
      <c r="R189" s="1692"/>
      <c r="S189" s="1216"/>
      <c r="T189" s="1216"/>
      <c r="U189" s="600"/>
      <c r="V189" s="1216"/>
      <c r="W189" s="1216"/>
      <c r="X189" s="1216"/>
      <c r="Y189" s="1216"/>
      <c r="Z189" s="1216"/>
      <c r="AA189" s="1688"/>
      <c r="AB189" s="622"/>
      <c r="AC189" s="622"/>
      <c r="AD189" s="622"/>
      <c r="AE189" s="622"/>
      <c r="AF189" s="1697">
        <v>11</v>
      </c>
    </row>
    <row s="3442" customFormat="1" customHeight="1" ht="11.549999999999999">
      <c r="A190" s="1043"/>
      <c r="B190" s="1692"/>
      <c r="C190" s="1692"/>
      <c r="D190" s="407"/>
      <c r="K190" s="1216"/>
      <c r="L190" s="1692"/>
      <c r="M190" s="1692"/>
      <c r="N190" s="1216"/>
      <c r="O190" s="1216"/>
      <c r="P190" s="1216"/>
      <c r="Q190" s="1216"/>
      <c r="R190" s="1692"/>
      <c r="S190" s="1216"/>
      <c r="T190" s="1216"/>
      <c r="U190" s="600"/>
      <c r="V190" s="1216"/>
      <c r="W190" s="1216"/>
      <c r="X190" s="1216"/>
      <c r="Y190" s="1216"/>
      <c r="Z190" s="1216"/>
      <c r="AA190" s="1688"/>
      <c r="AB190" s="622"/>
      <c r="AC190" s="622"/>
      <c r="AD190" s="622"/>
      <c r="AE190" s="622"/>
      <c r="AF190" s="1697">
        <v>11</v>
      </c>
    </row>
    <row s="3442" customFormat="1" customHeight="1" ht="11.549999999999999">
      <c r="A191" s="1043"/>
      <c r="B191" s="1692"/>
      <c r="C191" s="1692"/>
      <c r="D191" s="407"/>
      <c r="K191" s="1216"/>
      <c r="L191" s="1692"/>
      <c r="M191" s="1692"/>
      <c r="N191" s="1216"/>
      <c r="O191" s="1216"/>
      <c r="P191" s="1216"/>
      <c r="Q191" s="1216"/>
      <c r="R191" s="1692"/>
      <c r="S191" s="1216"/>
      <c r="T191" s="1216"/>
      <c r="U191" s="600"/>
      <c r="V191" s="1216"/>
      <c r="W191" s="1216"/>
      <c r="X191" s="1216"/>
      <c r="Y191" s="1216"/>
      <c r="Z191" s="1216"/>
      <c r="AA191" s="1688"/>
      <c r="AB191" s="622"/>
      <c r="AC191" s="622"/>
      <c r="AD191" s="622"/>
      <c r="AE191" s="622"/>
      <c r="AF191" s="1697">
        <v>11</v>
      </c>
    </row>
    <row s="3442" customFormat="1" customHeight="1" ht="11.549999999999999">
      <c r="A192" s="1043"/>
      <c r="B192" s="1692"/>
      <c r="C192" s="1692"/>
      <c r="D192" s="407"/>
      <c r="K192" s="1216"/>
      <c r="L192" s="1692"/>
      <c r="M192" s="1692"/>
      <c r="N192" s="1216"/>
      <c r="O192" s="1216"/>
      <c r="P192" s="1216"/>
      <c r="Q192" s="1216"/>
      <c r="R192" s="1692"/>
      <c r="S192" s="1216"/>
      <c r="T192" s="1216"/>
      <c r="U192" s="600"/>
      <c r="V192" s="1216"/>
      <c r="W192" s="1216"/>
      <c r="X192" s="1216"/>
      <c r="Y192" s="1216"/>
      <c r="Z192" s="1216"/>
      <c r="AA192" s="1688"/>
      <c r="AB192" s="622"/>
      <c r="AC192" s="622"/>
      <c r="AD192" s="622"/>
      <c r="AE192" s="622"/>
      <c r="AF192" s="1697">
        <v>11</v>
      </c>
    </row>
    <row s="3442" customFormat="1" customHeight="1" ht="11.549999999999999">
      <c r="A193" s="1043"/>
      <c r="B193" s="1692"/>
      <c r="C193" s="1692"/>
      <c r="D193" s="407"/>
      <c r="K193" s="1216"/>
      <c r="L193" s="1692"/>
      <c r="M193" s="1692"/>
      <c r="N193" s="1216"/>
      <c r="O193" s="1216"/>
      <c r="P193" s="1216"/>
      <c r="Q193" s="1216"/>
      <c r="R193" s="1692"/>
      <c r="S193" s="1216"/>
      <c r="T193" s="1216"/>
      <c r="U193" s="600"/>
      <c r="V193" s="1216"/>
      <c r="W193" s="1216"/>
      <c r="X193" s="1216"/>
      <c r="Y193" s="1216"/>
      <c r="Z193" s="1216"/>
      <c r="AA193" s="1688"/>
      <c r="AB193" s="622"/>
      <c r="AC193" s="622"/>
      <c r="AD193" s="622"/>
      <c r="AE193" s="622"/>
      <c r="AF193" s="1697">
        <v>11</v>
      </c>
    </row>
    <row s="3442" customFormat="1" customHeight="1" ht="11.549999999999999">
      <c r="A194" s="1043"/>
      <c r="B194" s="1692"/>
      <c r="C194" s="1692"/>
      <c r="D194" s="407"/>
      <c r="K194" s="1216"/>
      <c r="L194" s="1692"/>
      <c r="M194" s="1692"/>
      <c r="N194" s="1216"/>
      <c r="O194" s="1216"/>
      <c r="P194" s="1216"/>
      <c r="Q194" s="1216"/>
      <c r="R194" s="1692"/>
      <c r="S194" s="1216"/>
      <c r="T194" s="1216"/>
      <c r="U194" s="600"/>
      <c r="V194" s="1216"/>
      <c r="W194" s="1216"/>
      <c r="X194" s="1216"/>
      <c r="Y194" s="1216"/>
      <c r="Z194" s="1216"/>
      <c r="AA194" s="1688"/>
      <c r="AB194" s="622"/>
      <c r="AC194" s="622"/>
      <c r="AD194" s="622"/>
      <c r="AE194" s="622"/>
      <c r="AF194" s="1697">
        <v>11</v>
      </c>
    </row>
    <row s="3442" customFormat="1" customHeight="1" ht="11.549999999999999">
      <c r="A195" s="1043"/>
      <c r="B195" s="1692"/>
      <c r="C195" s="1692"/>
      <c r="D195" s="407"/>
      <c r="K195" s="1216"/>
      <c r="L195" s="1692"/>
      <c r="M195" s="1692"/>
      <c r="N195" s="1216"/>
      <c r="O195" s="1216"/>
      <c r="P195" s="1216"/>
      <c r="Q195" s="1216"/>
      <c r="R195" s="1692"/>
      <c r="S195" s="1216"/>
      <c r="T195" s="1216"/>
      <c r="U195" s="600"/>
      <c r="V195" s="1216"/>
      <c r="W195" s="1216"/>
      <c r="X195" s="1216"/>
      <c r="Y195" s="1216"/>
      <c r="Z195" s="1216"/>
      <c r="AA195" s="1688"/>
      <c r="AB195" s="622"/>
      <c r="AC195" s="622"/>
      <c r="AD195" s="622"/>
      <c r="AE195" s="622"/>
      <c r="AF195" s="1697">
        <v>11</v>
      </c>
    </row>
    <row customHeight="1" ht="11.549999999999999">
      <c r="AF196" s="1687">
        <v>11</v>
      </c>
    </row>
    <row customHeight="1" ht="11.549999999999999">
      <c r="AF197" s="1687">
        <v>11</v>
      </c>
    </row>
    <row customHeight="1" ht="11.549999999999999">
      <c r="AF198" s="1687">
        <v>11</v>
      </c>
    </row>
    <row customHeight="1" ht="11.549999999999999">
      <c r="A199" s="1046"/>
      <c r="B199" s="1687"/>
      <c r="D199" s="1687"/>
      <c r="K199" s="1687"/>
      <c r="N199" s="1687"/>
      <c r="O199" s="1687"/>
      <c r="P199" s="1687"/>
      <c r="Q199" s="1687"/>
      <c r="S199" s="1687"/>
      <c r="T199" s="1687"/>
      <c r="U199" s="1687"/>
      <c r="V199" s="1687"/>
      <c r="W199" s="1687"/>
      <c r="X199" s="1687"/>
      <c r="Y199" s="1687"/>
      <c r="Z199" s="1687"/>
      <c r="AA199" s="1687"/>
      <c r="AB199" s="1687"/>
      <c r="AC199" s="1687"/>
      <c r="AD199" s="1687"/>
      <c r="AE199" s="1687"/>
      <c r="AF199" s="1687">
        <v>11</v>
      </c>
    </row>
    <row customHeight="1" ht="11.549999999999999">
      <c r="A200" s="1046"/>
      <c r="B200" s="1687"/>
      <c r="D200" s="1687"/>
      <c r="K200" s="1687"/>
      <c r="N200" s="1687"/>
      <c r="O200" s="1687"/>
      <c r="P200" s="1687"/>
      <c r="Q200" s="1687"/>
      <c r="S200" s="1687"/>
      <c r="T200" s="1687"/>
      <c r="U200" s="1687"/>
      <c r="V200" s="1687"/>
      <c r="W200" s="1687"/>
      <c r="X200" s="1687"/>
      <c r="Y200" s="1687"/>
      <c r="Z200" s="1687"/>
      <c r="AA200" s="1687"/>
      <c r="AB200" s="1687"/>
      <c r="AC200" s="1687"/>
      <c r="AD200" s="1687"/>
      <c r="AE200" s="1687"/>
      <c r="AF200" s="1687">
        <v>11</v>
      </c>
    </row>
    <row customHeight="1" ht="11.549999999999999">
      <c r="A201" s="1046"/>
      <c r="B201" s="1687"/>
      <c r="D201" s="1687"/>
      <c r="K201" s="1687"/>
      <c r="N201" s="1687"/>
      <c r="O201" s="1687"/>
      <c r="P201" s="1687"/>
      <c r="Q201" s="1687"/>
      <c r="S201" s="1687"/>
      <c r="T201" s="1687"/>
      <c r="U201" s="1687"/>
      <c r="V201" s="1687"/>
      <c r="W201" s="1687"/>
      <c r="X201" s="1687"/>
      <c r="Y201" s="1687"/>
      <c r="Z201" s="1687"/>
      <c r="AA201" s="1687"/>
      <c r="AB201" s="1687"/>
      <c r="AC201" s="1687"/>
      <c r="AD201" s="1687"/>
      <c r="AE201" s="1687"/>
      <c r="AF201" s="1687">
        <v>11</v>
      </c>
    </row>
    <row customHeight="1" ht="11.549999999999999">
      <c r="A202" s="1046"/>
      <c r="B202" s="1687"/>
      <c r="D202" s="1687"/>
      <c r="K202" s="1687"/>
      <c r="N202" s="1687"/>
      <c r="O202" s="1687"/>
      <c r="P202" s="1687"/>
      <c r="Q202" s="1687"/>
      <c r="S202" s="1687"/>
      <c r="T202" s="1687"/>
      <c r="U202" s="1687"/>
      <c r="V202" s="1687"/>
      <c r="W202" s="1687"/>
      <c r="X202" s="1687"/>
      <c r="Y202" s="1687"/>
      <c r="Z202" s="1687"/>
      <c r="AA202" s="1687"/>
      <c r="AB202" s="1687"/>
      <c r="AC202" s="1687"/>
      <c r="AD202" s="1687"/>
      <c r="AE202" s="1687"/>
      <c r="AF202" s="1687">
        <v>11</v>
      </c>
    </row>
    <row customHeight="1" ht="11.549999999999999">
      <c r="A203" s="1046"/>
      <c r="B203" s="1687"/>
      <c r="D203" s="1687"/>
      <c r="K203" s="1687"/>
      <c r="N203" s="1687"/>
      <c r="O203" s="1687"/>
      <c r="P203" s="1687"/>
      <c r="Q203" s="1687"/>
      <c r="S203" s="1687"/>
      <c r="T203" s="1687"/>
      <c r="U203" s="1687"/>
      <c r="V203" s="1687"/>
      <c r="W203" s="1687"/>
      <c r="X203" s="1687"/>
      <c r="Y203" s="1687"/>
      <c r="Z203" s="1687"/>
      <c r="AA203" s="1687"/>
      <c r="AB203" s="1687"/>
      <c r="AC203" s="1687"/>
      <c r="AD203" s="1687"/>
      <c r="AE203" s="1687"/>
      <c r="AF203" s="1687">
        <v>11</v>
      </c>
    </row>
    <row customHeight="1" ht="11.549999999999999">
      <c r="A204" s="1046"/>
      <c r="B204" s="1687"/>
      <c r="D204" s="1687"/>
      <c r="K204" s="1687"/>
      <c r="N204" s="1687"/>
      <c r="O204" s="1687"/>
      <c r="P204" s="1687"/>
      <c r="Q204" s="1687"/>
      <c r="S204" s="1687"/>
      <c r="T204" s="1687"/>
      <c r="U204" s="1687"/>
      <c r="V204" s="1687"/>
      <c r="W204" s="1687"/>
      <c r="X204" s="1687"/>
      <c r="Y204" s="1687"/>
      <c r="Z204" s="1687"/>
      <c r="AA204" s="1687"/>
      <c r="AB204" s="1687"/>
      <c r="AC204" s="1687"/>
      <c r="AD204" s="1687"/>
      <c r="AE204" s="1687"/>
      <c r="AF204" s="1687">
        <v>11</v>
      </c>
    </row>
    <row customHeight="1" ht="11.549999999999999">
      <c r="A205" s="1046"/>
      <c r="B205" s="1687"/>
      <c r="D205" s="1687"/>
      <c r="K205" s="1687"/>
      <c r="N205" s="1687"/>
      <c r="O205" s="1687"/>
      <c r="P205" s="1687"/>
      <c r="Q205" s="1687"/>
      <c r="S205" s="1687"/>
      <c r="T205" s="1687"/>
      <c r="U205" s="1687"/>
      <c r="V205" s="1687"/>
      <c r="W205" s="1687"/>
      <c r="X205" s="1687"/>
      <c r="Y205" s="1687"/>
      <c r="Z205" s="1687"/>
      <c r="AA205" s="1687"/>
      <c r="AB205" s="1687"/>
      <c r="AC205" s="1687"/>
      <c r="AD205" s="1687"/>
      <c r="AE205" s="1687"/>
      <c r="AF205" s="1687">
        <v>11</v>
      </c>
    </row>
    <row customHeight="1" ht="11.549999999999999">
      <c r="A206" s="1046"/>
      <c r="B206" s="1687"/>
      <c r="D206" s="1687"/>
      <c r="K206" s="1687"/>
      <c r="N206" s="1687"/>
      <c r="O206" s="1687"/>
      <c r="P206" s="1687"/>
      <c r="Q206" s="1687"/>
      <c r="S206" s="1687"/>
      <c r="T206" s="1687"/>
      <c r="U206" s="1687"/>
      <c r="V206" s="1687"/>
      <c r="W206" s="1687"/>
      <c r="X206" s="1687"/>
      <c r="Y206" s="1687"/>
      <c r="Z206" s="1687"/>
      <c r="AA206" s="1687"/>
      <c r="AB206" s="1687"/>
      <c r="AC206" s="1687"/>
      <c r="AD206" s="1687"/>
      <c r="AE206" s="1687"/>
      <c r="AF206" s="1687">
        <v>11</v>
      </c>
    </row>
    <row customHeight="1" ht="11.549999999999999">
      <c r="A207" s="1046"/>
      <c r="B207" s="1687"/>
      <c r="D207" s="1687"/>
      <c r="K207" s="1687"/>
      <c r="N207" s="1687"/>
      <c r="O207" s="1687"/>
      <c r="P207" s="1687"/>
      <c r="Q207" s="1687"/>
      <c r="S207" s="1687"/>
      <c r="T207" s="1687"/>
      <c r="U207" s="1687"/>
      <c r="V207" s="1687"/>
      <c r="W207" s="1687"/>
      <c r="X207" s="1687"/>
      <c r="Y207" s="1687"/>
      <c r="Z207" s="1687"/>
      <c r="AA207" s="1687"/>
      <c r="AB207" s="1687"/>
      <c r="AC207" s="1687"/>
      <c r="AD207" s="1687"/>
      <c r="AE207" s="1687"/>
      <c r="AF207" s="1687">
        <v>11</v>
      </c>
    </row>
    <row customHeight="1" ht="11.549999999999999">
      <c r="A208" s="1046"/>
      <c r="B208" s="1687"/>
      <c r="D208" s="1687"/>
      <c r="K208" s="1687"/>
      <c r="N208" s="1687"/>
      <c r="O208" s="1687"/>
      <c r="P208" s="1687"/>
      <c r="Q208" s="1687"/>
      <c r="S208" s="1687"/>
      <c r="T208" s="1687"/>
      <c r="U208" s="1687"/>
      <c r="V208" s="1687"/>
      <c r="W208" s="1687"/>
      <c r="X208" s="1687"/>
      <c r="Y208" s="1687"/>
      <c r="Z208" s="1687"/>
      <c r="AA208" s="1687"/>
      <c r="AB208" s="1687"/>
      <c r="AC208" s="1687"/>
      <c r="AD208" s="1687"/>
      <c r="AE208" s="1687"/>
      <c r="AF208" s="1687">
        <v>11</v>
      </c>
    </row>
    <row customHeight="1" ht="11.549999999999999">
      <c r="A209" s="1046"/>
      <c r="B209" s="1687"/>
      <c r="D209" s="1687"/>
      <c r="K209" s="1687"/>
      <c r="N209" s="1687"/>
      <c r="O209" s="1687"/>
      <c r="P209" s="1687"/>
      <c r="Q209" s="1687"/>
      <c r="S209" s="1687"/>
      <c r="T209" s="1687"/>
      <c r="U209" s="1687"/>
      <c r="V209" s="1687"/>
      <c r="W209" s="1687"/>
      <c r="X209" s="1687"/>
      <c r="Y209" s="1687"/>
      <c r="Z209" s="1687"/>
      <c r="AA209" s="1687"/>
      <c r="AB209" s="1687"/>
      <c r="AC209" s="1687"/>
      <c r="AD209" s="1687"/>
      <c r="AE209" s="1687"/>
      <c r="AF209" s="1687">
        <v>11</v>
      </c>
    </row>
    <row customHeight="1" ht="11.25" hidden="1">
      <c r="A210" s="1043" t="s">
        <v>86</v>
      </c>
      <c r="B210" s="1216">
        <v>0</v>
      </c>
      <c r="C210" s="1692">
        <v>0</v>
      </c>
      <c r="D210" s="1691">
        <v>3</v>
      </c>
      <c r="E210" s="1687">
        <v>7</v>
      </c>
      <c r="F210" s="1687">
        <v>54</v>
      </c>
      <c r="G210" s="1687">
        <v>10</v>
      </c>
      <c r="H210" s="1687">
        <v>0</v>
      </c>
      <c r="I210" s="1687">
        <v>40</v>
      </c>
      <c r="J210" s="1687">
        <v>102</v>
      </c>
      <c r="K210" s="1216">
        <v>9</v>
      </c>
      <c r="L210" s="1692">
        <v>5</v>
      </c>
      <c r="M210" s="1692">
        <v>3</v>
      </c>
      <c r="N210" s="1216">
        <v>3</v>
      </c>
      <c r="O210" s="1216">
        <v>3</v>
      </c>
      <c r="P210" s="1216">
        <v>3</v>
      </c>
      <c r="Q210" s="1216">
        <v>3</v>
      </c>
      <c r="R210" s="1692">
        <v>10</v>
      </c>
      <c r="S210" s="1216">
        <v>34</v>
      </c>
      <c r="T210" s="1216">
        <v>9</v>
      </c>
      <c r="U210" s="600">
        <v>8</v>
      </c>
      <c r="V210" s="1216">
        <v>8</v>
      </c>
      <c r="W210" s="1216">
        <v>8</v>
      </c>
      <c r="X210" s="1216">
        <v>8</v>
      </c>
      <c r="Y210" s="1216">
        <v>8</v>
      </c>
      <c r="Z210" s="1216">
        <v>8</v>
      </c>
      <c r="AA210" s="1688">
        <v>8</v>
      </c>
      <c r="AB210" s="1688">
        <v>8</v>
      </c>
      <c r="AC210" s="1688">
        <v>8</v>
      </c>
      <c r="AD210" s="1688">
        <v>8</v>
      </c>
      <c r="AE210" s="1688">
        <v>8</v>
      </c>
      <c r="AF210" s="1687">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43A7B6-CD97-78D6-87EE-233CA3B67E58}" mc:Ignorable="x14ac xr xr2 xr3">
  <sheetPr>
    <tabColor theme="9" tint="-0.25"/>
  </sheetPr>
  <dimension ref="A1:X102"/>
  <sheetViews>
    <sheetView topLeftCell="A1" showGridLines="0" zoomScale="90" workbookViewId="0">
      <selection activeCell="A1" sqref="A1"/>
    </sheetView>
  </sheetViews>
  <sheetFormatPr defaultColWidth="10.57421875" customHeight="1" defaultRowHeight="11.25"/>
  <cols>
    <col min="1" max="1" style="12682" width="9.140625" hidden="1" customWidth="1"/>
    <col min="2" max="2" style="2851" width="3.57421875" hidden="1" customWidth="1"/>
    <col min="3" max="3" style="2774" width="3.00390625" customWidth="1"/>
    <col min="4" max="4" style="2774" width="7.00390625" customWidth="1"/>
    <col min="5" max="5" style="2774" width="69.00390625" customWidth="1"/>
    <col min="6" max="6" style="2774" width="10.00390625" customWidth="1"/>
    <col min="7" max="8" style="2774" width="44.00390625" hidden="1" customWidth="1"/>
    <col min="9" max="9" style="2774" width="44.00390625" customWidth="1"/>
    <col min="10" max="10" style="2774" width="43.00390625" customWidth="1"/>
    <col min="11" max="11" style="2774" width="73.00390625" customWidth="1"/>
    <col min="12" max="12" style="2774" width="3.00390625" customWidth="1"/>
    <col min="13" max="23" style="2774" width="10.00390625" customWidth="1"/>
    <col min="24" max="24" style="2774" width="10.57421875" hidden="1"/>
  </cols>
  <sheetData>
    <row s="2850" customFormat="1" customHeight="1" ht="22.5" hidden="1">
      <c r="A1" s="592"/>
      <c r="B1" s="567"/>
      <c r="G1" s="473">
        <v>4</v>
      </c>
      <c r="I1" s="473">
        <v>4</v>
      </c>
      <c r="K1" s="473">
        <v>5</v>
      </c>
      <c r="X1" s="473" t="s">
        <v>14</v>
      </c>
    </row>
    <row customHeight="1" ht="3">
      <c r="X2" s="561">
        <v>3</v>
      </c>
    </row>
    <row customHeight="1" ht="78.75">
      <c r="D3" s="229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95"/>
      <c r="F3" s="2296"/>
      <c r="X3" s="561">
        <v>75</v>
      </c>
    </row>
    <row s="2774" customFormat="1" customHeight="1" ht="21">
      <c r="A4" s="1007"/>
      <c r="B4" s="567"/>
      <c r="D4" s="2270" t="str">
        <f>IF(org=0,"Не определено",org)</f>
        <v>МУП ЖКХ "Родник"</v>
      </c>
      <c r="E4" s="2271"/>
      <c r="F4" s="2272"/>
      <c r="X4" s="814">
        <v>20</v>
      </c>
    </row>
    <row customHeight="1" ht="11.549999999999999">
      <c r="C5" s="565"/>
      <c r="D5" s="644"/>
      <c r="E5" s="644"/>
      <c r="F5" s="644"/>
      <c r="G5" s="644"/>
      <c r="H5" s="808"/>
      <c r="I5" s="644"/>
      <c r="J5" s="808"/>
      <c r="K5" s="644"/>
      <c r="X5" s="561">
        <v>11</v>
      </c>
    </row>
    <row customHeight="1" ht="1.05">
      <c r="C6" s="565"/>
      <c r="D6" s="565"/>
      <c r="E6" s="578"/>
      <c r="F6" s="670"/>
      <c r="G6" s="1078"/>
      <c r="H6" s="1078"/>
      <c r="I6" s="1078" t="s">
        <v>196</v>
      </c>
      <c r="J6" s="1078"/>
      <c r="X6" s="561">
        <v>1</v>
      </c>
    </row>
    <row customHeight="1" ht="11.549999999999999">
      <c r="D7" s="767"/>
      <c r="E7" s="2423" t="s">
        <v>187</v>
      </c>
      <c r="F7" s="2424"/>
      <c r="G7" s="2449" t="str">
        <f>IF(G6="","",INDEX(DIFFERENTIATION_UNMERGE_VD,MATCH(G6,DIFFERENTIATION_ID_DIFF,0)))</f>
        <v/>
      </c>
      <c r="H7" s="2450"/>
      <c r="I7" s="2449">
        <f>IF(I6="","",INDEX(DIFFERENTIATION_UNMERGE_VD,MATCH(I6,DIFFERENTIATION_ID_DIFF,0)))</f>
        <v>0</v>
      </c>
      <c r="J7" s="2450"/>
      <c r="K7" s="2231"/>
      <c r="L7" s="565"/>
      <c r="X7" s="561">
        <v>11</v>
      </c>
    </row>
    <row customHeight="1" ht="11.549999999999999">
      <c r="A8" s="760"/>
      <c r="D8" s="767"/>
      <c r="E8" s="2423" t="s">
        <v>697</v>
      </c>
      <c r="F8" s="2424"/>
      <c r="G8" s="2449" t="str">
        <f>IF(G6="","",INDEX(DIFFERENTIATION_UNMERGE_AREA,MATCH(G6,DIFFERENTIATION_ID_DIFF,0)))</f>
        <v/>
      </c>
      <c r="H8" s="2450"/>
      <c r="I8" s="2449" t="str">
        <f>IF(I6="","",INDEX(DIFFERENTIATION_UNMERGE_AREA,MATCH(I6,DIFFERENTIATION_ID_DIFF,0)))</f>
        <v/>
      </c>
      <c r="J8" s="2450"/>
      <c r="K8" s="2255"/>
      <c r="L8" s="565"/>
      <c r="X8" s="561">
        <v>11</v>
      </c>
    </row>
    <row customHeight="1" ht="11.549999999999999">
      <c r="A9" s="760"/>
      <c r="D9" s="767"/>
      <c r="E9" s="2423" t="s">
        <v>698</v>
      </c>
      <c r="F9" s="2424"/>
      <c r="G9" s="2449" t="str">
        <f>IF(G6="","",INDEX(DIFFERENTIATION_UNMERGE_SYSTEM,MATCH(G6,DIFFERENTIATION_ID_DIFF,0)))</f>
        <v/>
      </c>
      <c r="H9" s="2450"/>
      <c r="I9" s="2449" t="str">
        <f>IF(I6="","",INDEX(DIFFERENTIATION_UNMERGE_SYSTEM,MATCH(I6,DIFFERENTIATION_ID_DIFF,0)))</f>
        <v>без дифференциации</v>
      </c>
      <c r="J9" s="2450"/>
      <c r="K9" s="2255"/>
      <c r="L9" s="565"/>
      <c r="X9" s="561">
        <v>11</v>
      </c>
    </row>
    <row s="2774" customFormat="1" customHeight="1" ht="11.549999999999999">
      <c r="A10" s="1077"/>
      <c r="B10" s="567"/>
      <c r="D10" s="2157" t="s">
        <v>432</v>
      </c>
      <c r="E10" s="2158"/>
      <c r="F10" s="2158"/>
      <c r="G10" s="2158"/>
      <c r="H10" s="2158"/>
      <c r="I10" s="2158"/>
      <c r="J10" s="2159"/>
      <c r="K10" s="2255"/>
      <c r="L10" s="565"/>
      <c r="X10" s="814">
        <v>11</v>
      </c>
    </row>
    <row s="2774" customFormat="1" customHeight="1" ht="24">
      <c r="A11" s="2441"/>
      <c r="B11" s="2441"/>
      <c r="C11" s="713"/>
      <c r="D11" s="759" t="s">
        <v>92</v>
      </c>
      <c r="E11" s="761" t="s">
        <v>939</v>
      </c>
      <c r="F11" s="761" t="s">
        <v>699</v>
      </c>
      <c r="G11" s="521" t="s">
        <v>435</v>
      </c>
      <c r="H11" s="521" t="s">
        <v>522</v>
      </c>
      <c r="I11" s="863" t="s">
        <v>435</v>
      </c>
      <c r="J11" s="864" t="s">
        <v>522</v>
      </c>
      <c r="K11" s="2288"/>
      <c r="L11" s="714"/>
      <c r="X11" s="565">
        <v>23</v>
      </c>
    </row>
    <row s="2851" customFormat="1" customHeight="1" ht="10.5">
      <c r="A12" s="1008"/>
      <c r="D12" s="1081" t="s">
        <v>191</v>
      </c>
      <c r="E12" s="1081" t="s">
        <v>108</v>
      </c>
      <c r="F12" s="1081" t="s">
        <v>94</v>
      </c>
      <c r="G12" s="1082" t="str">
        <f>G1&amp;".1"</f>
        <v>4.1</v>
      </c>
      <c r="H12" s="1082" t="str">
        <f>G1&amp;".2"</f>
        <v>4.2</v>
      </c>
      <c r="I12" s="1082" t="str">
        <f>I1&amp;".1"</f>
        <v>4.1</v>
      </c>
      <c r="J12" s="1082" t="str">
        <f>I1&amp;".2"</f>
        <v>4.2</v>
      </c>
      <c r="K12" s="1082"/>
      <c r="X12" s="567">
        <v>10</v>
      </c>
    </row>
    <row customHeight="1" ht="22.5" hidden="1">
      <c r="A13" s="2448" t="s">
        <v>940</v>
      </c>
      <c r="D13" s="1009" t="s">
        <v>191</v>
      </c>
      <c r="E13" s="335" t="s">
        <v>941</v>
      </c>
      <c r="F13" s="716" t="s">
        <v>942</v>
      </c>
      <c r="G13" s="613"/>
      <c r="H13" s="717"/>
      <c r="I13" s="613"/>
      <c r="J13" s="717"/>
      <c r="K13" s="345" t="s">
        <v>943</v>
      </c>
      <c r="L13" s="776"/>
      <c r="X13" s="561">
        <v>0</v>
      </c>
    </row>
    <row customHeight="1" ht="22.5" hidden="1">
      <c r="A14" s="2448"/>
      <c r="D14" s="595" t="s">
        <v>108</v>
      </c>
      <c r="E14" s="335" t="s">
        <v>944</v>
      </c>
      <c r="F14" s="716" t="s">
        <v>945</v>
      </c>
      <c r="G14" s="613"/>
      <c r="H14" s="718"/>
      <c r="I14" s="613"/>
      <c r="J14" s="718"/>
      <c r="K14" s="345" t="s">
        <v>946</v>
      </c>
      <c r="L14" s="776"/>
      <c r="X14" s="561">
        <v>0</v>
      </c>
    </row>
    <row s="2774" customFormat="1" customHeight="1" ht="78.75" hidden="1">
      <c r="A15" s="2448"/>
      <c r="B15" s="567"/>
      <c r="D15" s="1009" t="s">
        <v>94</v>
      </c>
      <c r="E15" s="763" t="s">
        <v>947</v>
      </c>
      <c r="F15" s="1006" t="s">
        <v>438</v>
      </c>
      <c r="G15" s="1006" t="s">
        <v>438</v>
      </c>
      <c r="H15" s="162"/>
      <c r="I15" s="1006" t="s">
        <v>438</v>
      </c>
      <c r="J15" s="162"/>
      <c r="K15" s="345" t="s">
        <v>948</v>
      </c>
      <c r="L15" s="776"/>
      <c r="X15" s="814">
        <v>0</v>
      </c>
    </row>
    <row s="2774" customFormat="1" customHeight="1" ht="22.5" hidden="1">
      <c r="A16" s="2448"/>
      <c r="B16" s="567"/>
      <c r="D16" s="1009" t="s">
        <v>456</v>
      </c>
      <c r="E16" s="1010" t="s">
        <v>949</v>
      </c>
      <c r="F16" s="1006" t="s">
        <v>950</v>
      </c>
      <c r="G16" s="873"/>
      <c r="H16" s="162"/>
      <c r="I16" s="873"/>
      <c r="J16" s="162"/>
      <c r="K16" s="345"/>
      <c r="L16" s="776"/>
      <c r="X16" s="814">
        <v>0</v>
      </c>
    </row>
    <row s="2774" customFormat="1" customHeight="1" ht="22.5" hidden="1">
      <c r="A17" s="2448"/>
      <c r="B17" s="567"/>
      <c r="D17" s="1009" t="s">
        <v>464</v>
      </c>
      <c r="E17" s="1010" t="s">
        <v>951</v>
      </c>
      <c r="F17" s="1006" t="s">
        <v>952</v>
      </c>
      <c r="G17" s="873"/>
      <c r="H17" s="162"/>
      <c r="I17" s="873"/>
      <c r="J17" s="162"/>
      <c r="K17" s="345"/>
      <c r="L17" s="776"/>
      <c r="X17" s="814">
        <v>0</v>
      </c>
    </row>
    <row s="2774" customFormat="1" customHeight="1" ht="33.75" hidden="1">
      <c r="A18" s="2448"/>
      <c r="B18" s="567"/>
      <c r="D18" s="1009" t="s">
        <v>466</v>
      </c>
      <c r="E18" s="1010" t="s">
        <v>953</v>
      </c>
      <c r="F18" s="1006" t="s">
        <v>704</v>
      </c>
      <c r="G18" s="736"/>
      <c r="H18" s="162"/>
      <c r="I18" s="736"/>
      <c r="J18" s="162"/>
      <c r="K18" s="345"/>
      <c r="L18" s="776"/>
      <c r="X18" s="814">
        <v>0</v>
      </c>
    </row>
    <row customHeight="1" ht="101.25" hidden="1">
      <c r="A19" s="2448"/>
      <c r="D19" s="1009" t="s">
        <v>95</v>
      </c>
      <c r="E19" s="335" t="s">
        <v>954</v>
      </c>
      <c r="F19" s="716" t="s">
        <v>679</v>
      </c>
      <c r="G19" s="719"/>
      <c r="H19" s="718"/>
      <c r="I19" s="1011"/>
      <c r="J19" s="718"/>
      <c r="K19" s="345" t="s">
        <v>955</v>
      </c>
      <c r="L19" s="776"/>
      <c r="X19" s="561">
        <v>0</v>
      </c>
    </row>
    <row s="2774" customFormat="1" customHeight="1" ht="18.75" hidden="1">
      <c r="A20" s="2448"/>
      <c r="C20" s="1012"/>
      <c r="D20" s="1009" t="s">
        <v>886</v>
      </c>
      <c r="E20" s="1010" t="s">
        <v>956</v>
      </c>
      <c r="F20" s="1006" t="s">
        <v>438</v>
      </c>
      <c r="G20" s="1006" t="s">
        <v>438</v>
      </c>
      <c r="H20" s="1005" t="s">
        <v>438</v>
      </c>
      <c r="I20" s="1006" t="s">
        <v>438</v>
      </c>
      <c r="J20" s="1005" t="s">
        <v>438</v>
      </c>
      <c r="K20" s="1004"/>
      <c r="L20" s="776"/>
      <c r="W20" s="731"/>
      <c r="X20" s="814">
        <v>0</v>
      </c>
    </row>
    <row s="2774" customFormat="1" customHeight="1" ht="33.75" hidden="1">
      <c r="A21" s="2448"/>
      <c r="C21" s="1012"/>
      <c r="D21" s="1009" t="s">
        <v>889</v>
      </c>
      <c r="E21" s="632" t="s">
        <v>957</v>
      </c>
      <c r="F21" s="1006" t="s">
        <v>958</v>
      </c>
      <c r="G21" s="736"/>
      <c r="H21" s="162"/>
      <c r="I21" s="736"/>
      <c r="J21" s="162"/>
      <c r="K21" s="1004"/>
      <c r="L21" s="776"/>
      <c r="W21" s="731"/>
      <c r="X21" s="814">
        <v>0</v>
      </c>
    </row>
    <row s="2774" customFormat="1" customHeight="1" ht="33.75" hidden="1">
      <c r="A22" s="2448"/>
      <c r="C22" s="1012"/>
      <c r="D22" s="1009" t="s">
        <v>892</v>
      </c>
      <c r="E22" s="632" t="s">
        <v>959</v>
      </c>
      <c r="F22" s="1006" t="s">
        <v>960</v>
      </c>
      <c r="G22" s="736"/>
      <c r="H22" s="162"/>
      <c r="I22" s="736"/>
      <c r="J22" s="162"/>
      <c r="K22" s="1004"/>
      <c r="L22" s="776"/>
      <c r="W22" s="731"/>
      <c r="X22" s="814">
        <v>0</v>
      </c>
    </row>
    <row s="2774" customFormat="1" customHeight="1" ht="22.5" hidden="1">
      <c r="A23" s="2448"/>
      <c r="C23" s="1012"/>
      <c r="D23" s="1009" t="s">
        <v>928</v>
      </c>
      <c r="E23" s="1010" t="s">
        <v>961</v>
      </c>
      <c r="F23" s="1006" t="s">
        <v>438</v>
      </c>
      <c r="G23" s="1006" t="s">
        <v>438</v>
      </c>
      <c r="H23" s="1005" t="s">
        <v>438</v>
      </c>
      <c r="I23" s="1006" t="s">
        <v>438</v>
      </c>
      <c r="J23" s="1005" t="s">
        <v>438</v>
      </c>
      <c r="K23" s="1004"/>
      <c r="L23" s="776"/>
      <c r="W23" s="731"/>
      <c r="X23" s="814">
        <v>0</v>
      </c>
    </row>
    <row s="2774" customFormat="1" customHeight="1" ht="22.5" hidden="1">
      <c r="A24" s="2448"/>
      <c r="C24" s="1012"/>
      <c r="D24" s="1009" t="s">
        <v>962</v>
      </c>
      <c r="E24" s="632" t="s">
        <v>963</v>
      </c>
      <c r="F24" s="1006" t="s">
        <v>964</v>
      </c>
      <c r="G24" s="736"/>
      <c r="H24" s="742"/>
      <c r="I24" s="736"/>
      <c r="J24" s="742"/>
      <c r="K24" s="1004"/>
      <c r="L24" s="776"/>
      <c r="W24" s="731"/>
      <c r="X24" s="814">
        <v>0</v>
      </c>
    </row>
    <row s="2774" customFormat="1" customHeight="1" ht="22.5" hidden="1">
      <c r="A25" s="2448"/>
      <c r="C25" s="1012"/>
      <c r="D25" s="1009" t="s">
        <v>965</v>
      </c>
      <c r="E25" s="632" t="s">
        <v>966</v>
      </c>
      <c r="F25" s="1006" t="s">
        <v>438</v>
      </c>
      <c r="G25" s="1006" t="s">
        <v>438</v>
      </c>
      <c r="H25" s="1005" t="s">
        <v>438</v>
      </c>
      <c r="I25" s="1006" t="s">
        <v>438</v>
      </c>
      <c r="J25" s="1005" t="s">
        <v>438</v>
      </c>
      <c r="K25" s="1004"/>
      <c r="L25" s="776"/>
      <c r="W25" s="731"/>
      <c r="X25" s="814">
        <v>0</v>
      </c>
    </row>
    <row s="2774" customFormat="1" customHeight="1" ht="18.75" hidden="1">
      <c r="A26" s="2448"/>
      <c r="C26" s="1012"/>
      <c r="D26" s="1009" t="s">
        <v>967</v>
      </c>
      <c r="E26" s="609" t="s">
        <v>968</v>
      </c>
      <c r="F26" s="1006" t="s">
        <v>969</v>
      </c>
      <c r="G26" s="736"/>
      <c r="H26" s="742"/>
      <c r="I26" s="736"/>
      <c r="J26" s="742"/>
      <c r="K26" s="1004"/>
      <c r="L26" s="776"/>
      <c r="W26" s="731"/>
      <c r="X26" s="814">
        <v>0</v>
      </c>
    </row>
    <row s="2774" customFormat="1" customHeight="1" ht="18.75" hidden="1">
      <c r="A27" s="2448"/>
      <c r="C27" s="1012"/>
      <c r="D27" s="1009" t="s">
        <v>970</v>
      </c>
      <c r="E27" s="609" t="s">
        <v>971</v>
      </c>
      <c r="F27" s="1006" t="s">
        <v>972</v>
      </c>
      <c r="G27" s="736"/>
      <c r="H27" s="742"/>
      <c r="I27" s="736"/>
      <c r="J27" s="742"/>
      <c r="K27" s="1004"/>
      <c r="L27" s="776"/>
      <c r="W27" s="731"/>
      <c r="X27" s="814">
        <v>0</v>
      </c>
    </row>
    <row s="2774" customFormat="1" customHeight="1" ht="18.75" hidden="1">
      <c r="A28" s="2448"/>
      <c r="C28" s="1012"/>
      <c r="D28" s="1009" t="s">
        <v>973</v>
      </c>
      <c r="E28" s="632" t="s">
        <v>974</v>
      </c>
      <c r="F28" s="1006" t="s">
        <v>438</v>
      </c>
      <c r="G28" s="1006" t="s">
        <v>438</v>
      </c>
      <c r="H28" s="1005" t="s">
        <v>438</v>
      </c>
      <c r="I28" s="1006" t="s">
        <v>438</v>
      </c>
      <c r="J28" s="1005" t="s">
        <v>438</v>
      </c>
      <c r="K28" s="1004"/>
      <c r="L28" s="776"/>
      <c r="W28" s="731"/>
      <c r="X28" s="814">
        <v>0</v>
      </c>
    </row>
    <row s="2774" customFormat="1" customHeight="1" ht="18.75" hidden="1">
      <c r="A29" s="2448"/>
      <c r="C29" s="1012"/>
      <c r="D29" s="1009" t="s">
        <v>975</v>
      </c>
      <c r="E29" s="609" t="s">
        <v>968</v>
      </c>
      <c r="F29" s="1006" t="s">
        <v>976</v>
      </c>
      <c r="G29" s="736"/>
      <c r="H29" s="742"/>
      <c r="I29" s="736"/>
      <c r="J29" s="742"/>
      <c r="K29" s="1004"/>
      <c r="L29" s="776"/>
      <c r="W29" s="731"/>
      <c r="X29" s="814">
        <v>0</v>
      </c>
    </row>
    <row s="2774" customFormat="1" customHeight="1" ht="18.75" hidden="1">
      <c r="A30" s="2448"/>
      <c r="C30" s="1012"/>
      <c r="D30" s="1009" t="s">
        <v>977</v>
      </c>
      <c r="E30" s="609" t="s">
        <v>978</v>
      </c>
      <c r="F30" s="1006" t="s">
        <v>979</v>
      </c>
      <c r="G30" s="736"/>
      <c r="H30" s="742"/>
      <c r="I30" s="736"/>
      <c r="J30" s="742"/>
      <c r="K30" s="1004"/>
      <c r="L30" s="776"/>
      <c r="W30" s="731"/>
      <c r="X30" s="814">
        <v>0</v>
      </c>
    </row>
    <row customHeight="1" ht="126.75" hidden="1">
      <c r="A31" s="2448"/>
      <c r="D31" s="1009" t="s">
        <v>122</v>
      </c>
      <c r="E31" s="335" t="s">
        <v>980</v>
      </c>
      <c r="F31" s="716" t="s">
        <v>691</v>
      </c>
      <c r="G31" s="613"/>
      <c r="H31" s="718"/>
      <c r="I31" s="613"/>
      <c r="J31" s="718"/>
      <c r="K31" s="345" t="s">
        <v>981</v>
      </c>
      <c r="L31" s="776"/>
      <c r="X31" s="561">
        <v>0</v>
      </c>
    </row>
    <row customHeight="1" ht="56.25" hidden="1">
      <c r="A32" s="2448"/>
      <c r="D32" s="1009" t="s">
        <v>96</v>
      </c>
      <c r="E32" s="335" t="s">
        <v>982</v>
      </c>
      <c r="F32" s="595" t="s">
        <v>952</v>
      </c>
      <c r="G32" s="613"/>
      <c r="H32" s="718"/>
      <c r="I32" s="613"/>
      <c r="J32" s="718"/>
      <c r="K32" s="345" t="s">
        <v>983</v>
      </c>
      <c r="L32" s="776"/>
      <c r="X32" s="561">
        <v>0</v>
      </c>
    </row>
    <row customHeight="1" ht="11.25" hidden="1">
      <c r="A33" s="2448"/>
      <c r="E33" s="720"/>
      <c r="F33" s="237"/>
      <c r="G33" s="237"/>
      <c r="H33" s="237"/>
      <c r="I33" s="237"/>
      <c r="J33" s="237"/>
      <c r="K33" s="237"/>
      <c r="X33" s="561">
        <v>0</v>
      </c>
    </row>
    <row customHeight="1" ht="12.75" hidden="1">
      <c r="A34" s="2448"/>
      <c r="D34" s="121">
        <v>1</v>
      </c>
      <c r="E34" s="391" t="s">
        <v>984</v>
      </c>
      <c r="X34" s="561">
        <v>0</v>
      </c>
    </row>
    <row customHeight="1" ht="11.25" hidden="1">
      <c r="A35" s="2448"/>
      <c r="D35" s="425"/>
      <c r="E35" s="391" t="s">
        <v>985</v>
      </c>
      <c r="X35" s="561">
        <v>0</v>
      </c>
    </row>
    <row s="2774" customFormat="1" customHeight="1" ht="11.549999999999999">
      <c r="A36" s="1089"/>
      <c r="B36" s="574"/>
      <c r="D36" s="1090"/>
      <c r="E36" s="1091"/>
      <c r="X36" s="565">
        <v>11</v>
      </c>
    </row>
    <row s="2774" customFormat="1" customHeight="1" ht="22.5">
      <c r="A37" s="2448" t="s">
        <v>986</v>
      </c>
      <c r="B37" s="567"/>
      <c r="D37" s="1009">
        <v>1</v>
      </c>
      <c r="E37" s="763" t="s">
        <v>987</v>
      </c>
      <c r="F37" s="716" t="s">
        <v>942</v>
      </c>
      <c r="G37" s="613"/>
      <c r="H37" s="575"/>
      <c r="I37" s="613"/>
      <c r="J37" s="575"/>
      <c r="K37" s="345" t="s">
        <v>988</v>
      </c>
      <c r="X37" s="814">
        <v>0</v>
      </c>
    </row>
    <row s="2774" customFormat="1" customHeight="1" ht="22.5">
      <c r="A38" s="2448"/>
      <c r="B38" s="567"/>
      <c r="D38" s="725" t="s">
        <v>108</v>
      </c>
      <c r="E38" s="1088" t="s">
        <v>989</v>
      </c>
      <c r="F38" s="1092" t="s">
        <v>679</v>
      </c>
      <c r="G38" s="1092" t="s">
        <v>679</v>
      </c>
      <c r="H38" s="1086"/>
      <c r="I38" s="1092" t="s">
        <v>679</v>
      </c>
      <c r="J38" s="1086"/>
      <c r="K38" s="1087"/>
      <c r="X38" s="814">
        <v>0</v>
      </c>
    </row>
    <row s="2774" customFormat="1" customHeight="1" ht="33.75">
      <c r="A39" s="2448"/>
      <c r="B39" s="567"/>
      <c r="D39" s="721" t="s">
        <v>844</v>
      </c>
      <c r="E39" s="779" t="s">
        <v>990</v>
      </c>
      <c r="F39" s="716" t="s">
        <v>991</v>
      </c>
      <c r="G39" s="724"/>
      <c r="H39" s="1079"/>
      <c r="I39" s="724"/>
      <c r="J39" s="1079"/>
      <c r="K39" s="345" t="s">
        <v>992</v>
      </c>
      <c r="X39" s="814">
        <v>0</v>
      </c>
    </row>
    <row s="2774" customFormat="1" customHeight="1" ht="33.75">
      <c r="A40" s="2448"/>
      <c r="B40" s="567"/>
      <c r="D40" s="721" t="s">
        <v>847</v>
      </c>
      <c r="E40" s="779" t="s">
        <v>993</v>
      </c>
      <c r="F40" s="1083" t="s">
        <v>994</v>
      </c>
      <c r="G40" s="797"/>
      <c r="H40" s="1079"/>
      <c r="I40" s="797"/>
      <c r="J40" s="1079"/>
      <c r="K40" s="345" t="s">
        <v>995</v>
      </c>
      <c r="X40" s="814">
        <v>0</v>
      </c>
    </row>
    <row s="2774" customFormat="1" customHeight="1" ht="22.5">
      <c r="A41" s="2448"/>
      <c r="B41" s="567"/>
      <c r="D41" s="721" t="s">
        <v>94</v>
      </c>
      <c r="E41" s="778" t="s">
        <v>996</v>
      </c>
      <c r="F41" s="716" t="s">
        <v>679</v>
      </c>
      <c r="G41" s="716" t="s">
        <v>679</v>
      </c>
      <c r="H41" s="1080"/>
      <c r="I41" s="716" t="s">
        <v>679</v>
      </c>
      <c r="J41" s="1080"/>
      <c r="K41" s="358"/>
      <c r="X41" s="814">
        <v>0</v>
      </c>
    </row>
    <row s="2774" customFormat="1" customHeight="1" ht="45">
      <c r="A42" s="2448"/>
      <c r="B42" s="567"/>
      <c r="D42" s="721" t="s">
        <v>456</v>
      </c>
      <c r="E42" s="779" t="s">
        <v>997</v>
      </c>
      <c r="F42" s="716" t="s">
        <v>691</v>
      </c>
      <c r="G42" s="613"/>
      <c r="H42" s="1080"/>
      <c r="I42" s="613"/>
      <c r="J42" s="1080"/>
      <c r="K42" s="358" t="s">
        <v>998</v>
      </c>
      <c r="X42" s="814">
        <v>0</v>
      </c>
    </row>
    <row s="2774" customFormat="1" customHeight="1" ht="45">
      <c r="A43" s="2448"/>
      <c r="B43" s="567"/>
      <c r="D43" s="721" t="s">
        <v>464</v>
      </c>
      <c r="E43" s="723" t="s">
        <v>999</v>
      </c>
      <c r="F43" s="1084" t="s">
        <v>691</v>
      </c>
      <c r="G43" s="798"/>
      <c r="H43" s="1079"/>
      <c r="I43" s="798"/>
      <c r="J43" s="1079"/>
      <c r="K43" s="358" t="s">
        <v>1000</v>
      </c>
      <c r="X43" s="814">
        <v>0</v>
      </c>
    </row>
    <row s="2774" customFormat="1" customHeight="1" ht="11.25">
      <c r="A44" s="2448"/>
      <c r="B44" s="567"/>
      <c r="D44" s="721" t="s">
        <v>95</v>
      </c>
      <c r="E44" s="722" t="s">
        <v>1001</v>
      </c>
      <c r="F44" s="716" t="s">
        <v>991</v>
      </c>
      <c r="G44" s="724"/>
      <c r="H44" s="1079"/>
      <c r="I44" s="724"/>
      <c r="J44" s="1079"/>
      <c r="K44" s="345"/>
      <c r="X44" s="814">
        <v>0</v>
      </c>
    </row>
    <row s="2774" customFormat="1" customHeight="1" ht="11.25">
      <c r="A45" s="2448"/>
      <c r="B45" s="567"/>
      <c r="D45" s="721" t="s">
        <v>886</v>
      </c>
      <c r="E45" s="723" t="s">
        <v>1002</v>
      </c>
      <c r="F45" s="716" t="s">
        <v>991</v>
      </c>
      <c r="G45" s="724"/>
      <c r="H45" s="1079"/>
      <c r="I45" s="724"/>
      <c r="J45" s="1079"/>
      <c r="K45" s="345"/>
      <c r="X45" s="814">
        <v>0</v>
      </c>
    </row>
    <row s="2774" customFormat="1" customHeight="1" ht="11.25">
      <c r="A46" s="2448"/>
      <c r="B46" s="567"/>
      <c r="D46" s="721" t="s">
        <v>928</v>
      </c>
      <c r="E46" s="723" t="s">
        <v>1003</v>
      </c>
      <c r="F46" s="716" t="s">
        <v>991</v>
      </c>
      <c r="G46" s="724"/>
      <c r="H46" s="1079"/>
      <c r="I46" s="724"/>
      <c r="J46" s="1079"/>
      <c r="K46" s="345"/>
      <c r="X46" s="814">
        <v>0</v>
      </c>
    </row>
    <row s="2774" customFormat="1" customHeight="1" ht="11.25">
      <c r="A47" s="2448"/>
      <c r="B47" s="567"/>
      <c r="D47" s="721" t="s">
        <v>931</v>
      </c>
      <c r="E47" s="723" t="s">
        <v>1004</v>
      </c>
      <c r="F47" s="716" t="s">
        <v>991</v>
      </c>
      <c r="G47" s="724"/>
      <c r="H47" s="1079"/>
      <c r="I47" s="724"/>
      <c r="J47" s="1079"/>
      <c r="K47" s="345"/>
      <c r="X47" s="814">
        <v>0</v>
      </c>
    </row>
    <row s="2774" customFormat="1" customHeight="1" ht="11.25">
      <c r="A48" s="2448"/>
      <c r="B48" s="567"/>
      <c r="D48" s="721" t="s">
        <v>1005</v>
      </c>
      <c r="E48" s="727" t="s">
        <v>1006</v>
      </c>
      <c r="F48" s="716" t="s">
        <v>991</v>
      </c>
      <c r="G48" s="724"/>
      <c r="H48" s="1079"/>
      <c r="I48" s="724"/>
      <c r="J48" s="1079"/>
      <c r="K48" s="345"/>
      <c r="X48" s="814">
        <v>0</v>
      </c>
    </row>
    <row s="2774" customFormat="1" customHeight="1" ht="11.25">
      <c r="A49" s="2448"/>
      <c r="B49" s="567"/>
      <c r="D49" s="721" t="s">
        <v>1007</v>
      </c>
      <c r="E49" s="727" t="s">
        <v>1008</v>
      </c>
      <c r="F49" s="716" t="s">
        <v>991</v>
      </c>
      <c r="G49" s="724"/>
      <c r="H49" s="1079"/>
      <c r="I49" s="724"/>
      <c r="J49" s="1079"/>
      <c r="K49" s="345"/>
      <c r="X49" s="814">
        <v>0</v>
      </c>
    </row>
    <row s="2774" customFormat="1" customHeight="1" ht="11.25">
      <c r="A50" s="2448"/>
      <c r="B50" s="567"/>
      <c r="D50" s="721" t="s">
        <v>1009</v>
      </c>
      <c r="E50" s="723" t="s">
        <v>1010</v>
      </c>
      <c r="F50" s="716" t="s">
        <v>991</v>
      </c>
      <c r="G50" s="724"/>
      <c r="H50" s="1079"/>
      <c r="I50" s="724"/>
      <c r="J50" s="1079"/>
      <c r="K50" s="345"/>
      <c r="X50" s="814">
        <v>0</v>
      </c>
    </row>
    <row s="2774" customFormat="1" customHeight="1" ht="11.25">
      <c r="A51" s="2448"/>
      <c r="B51" s="567"/>
      <c r="D51" s="721" t="s">
        <v>1011</v>
      </c>
      <c r="E51" s="723" t="s">
        <v>1012</v>
      </c>
      <c r="F51" s="716" t="s">
        <v>991</v>
      </c>
      <c r="G51" s="724"/>
      <c r="H51" s="1079"/>
      <c r="I51" s="724"/>
      <c r="J51" s="1079"/>
      <c r="K51" s="345"/>
      <c r="X51" s="814">
        <v>0</v>
      </c>
    </row>
    <row s="2774" customFormat="1" customHeight="1" ht="45">
      <c r="A52" s="2448"/>
      <c r="B52" s="567"/>
      <c r="D52" s="721" t="s">
        <v>122</v>
      </c>
      <c r="E52" s="722" t="s">
        <v>1013</v>
      </c>
      <c r="F52" s="716" t="s">
        <v>991</v>
      </c>
      <c r="G52" s="724"/>
      <c r="H52" s="1079"/>
      <c r="I52" s="724"/>
      <c r="J52" s="1079"/>
      <c r="K52" s="345"/>
      <c r="X52" s="814">
        <v>0</v>
      </c>
    </row>
    <row s="2774" customFormat="1" customHeight="1" ht="11.25">
      <c r="A53" s="2448"/>
      <c r="B53" s="567"/>
      <c r="D53" s="721" t="s">
        <v>445</v>
      </c>
      <c r="E53" s="723" t="s">
        <v>1002</v>
      </c>
      <c r="F53" s="716" t="s">
        <v>991</v>
      </c>
      <c r="G53" s="724"/>
      <c r="H53" s="1079"/>
      <c r="I53" s="724"/>
      <c r="J53" s="1079"/>
      <c r="K53" s="345"/>
      <c r="X53" s="814">
        <v>0</v>
      </c>
    </row>
    <row s="2774" customFormat="1" customHeight="1" ht="11.25">
      <c r="A54" s="2448"/>
      <c r="B54" s="567"/>
      <c r="D54" s="721" t="s">
        <v>1014</v>
      </c>
      <c r="E54" s="723" t="s">
        <v>1003</v>
      </c>
      <c r="F54" s="716" t="s">
        <v>991</v>
      </c>
      <c r="G54" s="724"/>
      <c r="H54" s="1079"/>
      <c r="I54" s="724"/>
      <c r="J54" s="1079"/>
      <c r="K54" s="345"/>
      <c r="X54" s="814">
        <v>0</v>
      </c>
    </row>
    <row s="2774" customFormat="1" customHeight="1" ht="11.25">
      <c r="A55" s="2448"/>
      <c r="B55" s="567"/>
      <c r="D55" s="721" t="s">
        <v>1015</v>
      </c>
      <c r="E55" s="723" t="s">
        <v>1004</v>
      </c>
      <c r="F55" s="716" t="s">
        <v>991</v>
      </c>
      <c r="G55" s="724"/>
      <c r="H55" s="1079"/>
      <c r="I55" s="724"/>
      <c r="J55" s="1079"/>
      <c r="K55" s="345"/>
      <c r="X55" s="814">
        <v>0</v>
      </c>
    </row>
    <row s="2774" customFormat="1" customHeight="1" ht="11.25">
      <c r="A56" s="2448"/>
      <c r="B56" s="567"/>
      <c r="D56" s="721" t="s">
        <v>1016</v>
      </c>
      <c r="E56" s="727" t="s">
        <v>1006</v>
      </c>
      <c r="F56" s="716" t="s">
        <v>991</v>
      </c>
      <c r="G56" s="724"/>
      <c r="H56" s="1079"/>
      <c r="I56" s="724"/>
      <c r="J56" s="1079"/>
      <c r="K56" s="345"/>
      <c r="X56" s="814">
        <v>0</v>
      </c>
    </row>
    <row s="2774" customFormat="1" customHeight="1" ht="11.25">
      <c r="A57" s="2448"/>
      <c r="B57" s="567"/>
      <c r="D57" s="721" t="s">
        <v>1017</v>
      </c>
      <c r="E57" s="727" t="s">
        <v>1008</v>
      </c>
      <c r="F57" s="716" t="s">
        <v>991</v>
      </c>
      <c r="G57" s="724"/>
      <c r="H57" s="1079"/>
      <c r="I57" s="724"/>
      <c r="J57" s="1079"/>
      <c r="K57" s="345"/>
      <c r="X57" s="814">
        <v>0</v>
      </c>
    </row>
    <row s="2774" customFormat="1" customHeight="1" ht="11.25">
      <c r="A58" s="2448"/>
      <c r="B58" s="567"/>
      <c r="D58" s="721" t="s">
        <v>1018</v>
      </c>
      <c r="E58" s="723" t="s">
        <v>1010</v>
      </c>
      <c r="F58" s="716" t="s">
        <v>991</v>
      </c>
      <c r="G58" s="724"/>
      <c r="H58" s="1079"/>
      <c r="I58" s="724"/>
      <c r="J58" s="1079"/>
      <c r="K58" s="345"/>
      <c r="X58" s="814">
        <v>0</v>
      </c>
    </row>
    <row s="2774" customFormat="1" customHeight="1" ht="11.25">
      <c r="A59" s="2448"/>
      <c r="B59" s="567"/>
      <c r="D59" s="721" t="s">
        <v>1019</v>
      </c>
      <c r="E59" s="723" t="s">
        <v>1012</v>
      </c>
      <c r="F59" s="716" t="s">
        <v>991</v>
      </c>
      <c r="G59" s="724"/>
      <c r="H59" s="1079"/>
      <c r="I59" s="724"/>
      <c r="J59" s="1079"/>
      <c r="K59" s="345"/>
      <c r="X59" s="814">
        <v>0</v>
      </c>
    </row>
    <row s="2774" customFormat="1" customHeight="1" ht="33.75">
      <c r="A60" s="2448"/>
      <c r="B60" s="567"/>
      <c r="D60" s="721" t="s">
        <v>96</v>
      </c>
      <c r="E60" s="722" t="s">
        <v>1020</v>
      </c>
      <c r="F60" s="777" t="s">
        <v>691</v>
      </c>
      <c r="G60" s="798"/>
      <c r="H60" s="1079"/>
      <c r="I60" s="798"/>
      <c r="J60" s="1079"/>
      <c r="K60" s="358" t="s">
        <v>1021</v>
      </c>
      <c r="X60" s="814">
        <v>0</v>
      </c>
    </row>
    <row s="2774" customFormat="1" customHeight="1" ht="33.75">
      <c r="A61" s="2448"/>
      <c r="B61" s="567"/>
      <c r="D61" s="721" t="s">
        <v>97</v>
      </c>
      <c r="E61" s="722" t="s">
        <v>1022</v>
      </c>
      <c r="F61" s="782" t="s">
        <v>952</v>
      </c>
      <c r="G61" s="724"/>
      <c r="H61" s="1079"/>
      <c r="I61" s="724"/>
      <c r="J61" s="1079"/>
      <c r="K61" s="345"/>
      <c r="X61" s="814">
        <v>0</v>
      </c>
    </row>
    <row s="2774" customFormat="1" customHeight="1" ht="22.5">
      <c r="A62" s="2448"/>
      <c r="B62" s="567" t="s">
        <v>721</v>
      </c>
      <c r="D62" s="721" t="s">
        <v>135</v>
      </c>
      <c r="E62" s="722" t="s">
        <v>1023</v>
      </c>
      <c r="F62" s="782" t="s">
        <v>438</v>
      </c>
      <c r="G62" s="438"/>
      <c r="H62" s="1079"/>
      <c r="I62" s="438"/>
      <c r="J62" s="1079"/>
      <c r="K62" s="345" t="s">
        <v>764</v>
      </c>
      <c r="X62" s="814">
        <v>0</v>
      </c>
    </row>
    <row s="2774" customFormat="1" customHeight="1" ht="45">
      <c r="A63" s="2448"/>
      <c r="B63" s="567" t="s">
        <v>721</v>
      </c>
      <c r="D63" s="721" t="s">
        <v>1024</v>
      </c>
      <c r="E63" s="723" t="s">
        <v>1025</v>
      </c>
      <c r="F63" s="777" t="s">
        <v>438</v>
      </c>
      <c r="G63" s="438"/>
      <c r="H63" s="1079"/>
      <c r="I63" s="438"/>
      <c r="J63" s="1079"/>
      <c r="K63" s="345" t="s">
        <v>764</v>
      </c>
      <c r="X63" s="814">
        <v>0</v>
      </c>
    </row>
    <row s="2774" customFormat="1" customHeight="1" ht="11.549999999999999">
      <c r="A64" s="1089"/>
      <c r="B64" s="574"/>
      <c r="D64" s="1090"/>
      <c r="E64" s="1091"/>
      <c r="X64" s="565">
        <v>11</v>
      </c>
    </row>
    <row s="2774" customFormat="1" customHeight="1" ht="22.5" hidden="1">
      <c r="A65" s="2448" t="s">
        <v>1026</v>
      </c>
      <c r="B65" s="567"/>
      <c r="D65" s="721">
        <v>1</v>
      </c>
      <c r="E65" s="800" t="s">
        <v>1027</v>
      </c>
      <c r="F65" s="796" t="s">
        <v>942</v>
      </c>
      <c r="G65" s="797"/>
      <c r="H65" s="1085"/>
      <c r="I65" s="797"/>
      <c r="J65" s="1085"/>
      <c r="K65" s="357" t="s">
        <v>1028</v>
      </c>
      <c r="X65" s="814">
        <v>0</v>
      </c>
    </row>
    <row s="2774" customFormat="1" customHeight="1" ht="56.25" hidden="1">
      <c r="A66" s="2448"/>
      <c r="B66" s="567"/>
      <c r="D66" s="799" t="s">
        <v>108</v>
      </c>
      <c r="E66" s="763" t="s">
        <v>1029</v>
      </c>
      <c r="F66" s="716" t="s">
        <v>679</v>
      </c>
      <c r="G66" s="716" t="s">
        <v>679</v>
      </c>
      <c r="H66" s="575"/>
      <c r="I66" s="716" t="s">
        <v>679</v>
      </c>
      <c r="J66" s="575"/>
      <c r="K66" s="345"/>
      <c r="X66" s="814">
        <v>0</v>
      </c>
    </row>
    <row s="2774" customFormat="1" customHeight="1" ht="33.75" hidden="1">
      <c r="A67" s="2448"/>
      <c r="B67" s="567"/>
      <c r="D67" s="799" t="s">
        <v>841</v>
      </c>
      <c r="E67" s="1010" t="s">
        <v>1030</v>
      </c>
      <c r="F67" s="716" t="s">
        <v>994</v>
      </c>
      <c r="G67" s="783"/>
      <c r="H67" s="575"/>
      <c r="I67" s="783"/>
      <c r="J67" s="575"/>
      <c r="K67" s="345"/>
      <c r="X67" s="814">
        <v>0</v>
      </c>
    </row>
    <row s="2774" customFormat="1" customHeight="1" ht="22.5" hidden="1">
      <c r="A68" s="2448"/>
      <c r="B68" s="567"/>
      <c r="D68" s="799" t="s">
        <v>439</v>
      </c>
      <c r="E68" s="1010" t="s">
        <v>1031</v>
      </c>
      <c r="F68" s="716" t="s">
        <v>994</v>
      </c>
      <c r="G68" s="783"/>
      <c r="H68" s="575"/>
      <c r="I68" s="783"/>
      <c r="J68" s="575"/>
      <c r="K68" s="345"/>
      <c r="X68" s="814">
        <v>0</v>
      </c>
    </row>
    <row s="2774" customFormat="1" customHeight="1" ht="22.5" hidden="1">
      <c r="A69" s="2448"/>
      <c r="B69" s="567"/>
      <c r="D69" s="799" t="s">
        <v>442</v>
      </c>
      <c r="E69" s="1010" t="s">
        <v>1032</v>
      </c>
      <c r="F69" s="777" t="s">
        <v>691</v>
      </c>
      <c r="G69" s="798"/>
      <c r="H69" s="575"/>
      <c r="I69" s="798"/>
      <c r="J69" s="575"/>
      <c r="K69" s="345"/>
      <c r="X69" s="814">
        <v>0</v>
      </c>
    </row>
    <row s="2774" customFormat="1" customHeight="1" ht="22.5" hidden="1">
      <c r="A70" s="2448"/>
      <c r="B70" s="567"/>
      <c r="D70" s="799" t="s">
        <v>861</v>
      </c>
      <c r="E70" s="1010" t="s">
        <v>1033</v>
      </c>
      <c r="F70" s="777" t="s">
        <v>691</v>
      </c>
      <c r="G70" s="798"/>
      <c r="H70" s="575"/>
      <c r="I70" s="798"/>
      <c r="J70" s="575"/>
      <c r="K70" s="345"/>
      <c r="X70" s="814">
        <v>0</v>
      </c>
    </row>
    <row s="2774" customFormat="1" customHeight="1" ht="22.5" hidden="1">
      <c r="A71" s="2448"/>
      <c r="B71" s="567"/>
      <c r="D71" s="721" t="s">
        <v>94</v>
      </c>
      <c r="E71" s="722" t="s">
        <v>1034</v>
      </c>
      <c r="F71" s="716" t="s">
        <v>994</v>
      </c>
      <c r="G71" s="613"/>
      <c r="H71" s="1086"/>
      <c r="I71" s="613"/>
      <c r="J71" s="1086"/>
      <c r="K71" s="358"/>
      <c r="X71" s="814">
        <v>0</v>
      </c>
    </row>
    <row s="2774" customFormat="1" customHeight="1" ht="56.25" hidden="1">
      <c r="A72" s="2448"/>
      <c r="B72" s="567"/>
      <c r="D72" s="721" t="s">
        <v>95</v>
      </c>
      <c r="E72" s="722" t="s">
        <v>1035</v>
      </c>
      <c r="F72" s="777" t="s">
        <v>691</v>
      </c>
      <c r="G72" s="798"/>
      <c r="H72" s="1079"/>
      <c r="I72" s="798"/>
      <c r="J72" s="1079"/>
      <c r="K72" s="358"/>
      <c r="X72" s="814">
        <v>0</v>
      </c>
    </row>
    <row s="2774" customFormat="1" customHeight="1" ht="33.75" hidden="1">
      <c r="A73" s="2448"/>
      <c r="B73" s="567"/>
      <c r="D73" s="721" t="s">
        <v>122</v>
      </c>
      <c r="E73" s="722" t="s">
        <v>1036</v>
      </c>
      <c r="F73" s="782" t="s">
        <v>952</v>
      </c>
      <c r="G73" s="724"/>
      <c r="H73" s="1079"/>
      <c r="I73" s="724"/>
      <c r="J73" s="1079"/>
      <c r="K73" s="345"/>
      <c r="X73" s="814">
        <v>0</v>
      </c>
    </row>
    <row s="2774" customFormat="1" customHeight="1" ht="22.5" hidden="1">
      <c r="A74" s="2448"/>
      <c r="B74" s="567" t="s">
        <v>721</v>
      </c>
      <c r="D74" s="721" t="s">
        <v>96</v>
      </c>
      <c r="E74" s="722" t="s">
        <v>1037</v>
      </c>
      <c r="F74" s="782" t="s">
        <v>438</v>
      </c>
      <c r="G74" s="438"/>
      <c r="H74" s="1079"/>
      <c r="I74" s="438"/>
      <c r="J74" s="1079"/>
      <c r="K74" s="345" t="s">
        <v>764</v>
      </c>
      <c r="X74" s="814">
        <v>0</v>
      </c>
    </row>
    <row s="2774" customFormat="1" customHeight="1" ht="45" hidden="1">
      <c r="A75" s="2448"/>
      <c r="B75" s="567" t="s">
        <v>721</v>
      </c>
      <c r="D75" s="721" t="s">
        <v>785</v>
      </c>
      <c r="E75" s="723" t="s">
        <v>1038</v>
      </c>
      <c r="F75" s="777" t="s">
        <v>438</v>
      </c>
      <c r="G75" s="438"/>
      <c r="H75" s="1079"/>
      <c r="I75" s="438"/>
      <c r="J75" s="1079"/>
      <c r="K75" s="345" t="s">
        <v>764</v>
      </c>
      <c r="X75" s="814">
        <v>0</v>
      </c>
    </row>
    <row s="2774" customFormat="1" customHeight="1" ht="11.549999999999999">
      <c r="A76" s="1089"/>
      <c r="B76" s="574"/>
      <c r="D76" s="1090"/>
      <c r="E76" s="1091"/>
      <c r="X76" s="565">
        <v>11</v>
      </c>
    </row>
    <row s="2774" customFormat="1" customHeight="1" ht="11.25" hidden="1">
      <c r="A77" s="2448" t="s">
        <v>1039</v>
      </c>
      <c r="B77" s="567"/>
      <c r="D77" s="721">
        <v>1</v>
      </c>
      <c r="E77" s="722" t="s">
        <v>1040</v>
      </c>
      <c r="F77" s="777" t="s">
        <v>942</v>
      </c>
      <c r="G77" s="780"/>
      <c r="H77" s="1079"/>
      <c r="I77" s="780"/>
      <c r="J77" s="1079"/>
      <c r="K77" s="345" t="s">
        <v>1041</v>
      </c>
      <c r="X77" s="814">
        <v>0</v>
      </c>
    </row>
    <row s="2774" customFormat="1" customHeight="1" ht="11.25" hidden="1">
      <c r="A78" s="2448"/>
      <c r="B78" s="567"/>
      <c r="D78" s="721" t="s">
        <v>108</v>
      </c>
      <c r="E78" s="722" t="s">
        <v>1042</v>
      </c>
      <c r="F78" s="777" t="s">
        <v>942</v>
      </c>
      <c r="G78" s="780"/>
      <c r="H78" s="1079"/>
      <c r="I78" s="780"/>
      <c r="J78" s="1079"/>
      <c r="K78" s="345" t="s">
        <v>1043</v>
      </c>
      <c r="X78" s="814">
        <v>0</v>
      </c>
    </row>
    <row s="2774" customFormat="1" customHeight="1" ht="22.5" hidden="1">
      <c r="A79" s="2448"/>
      <c r="B79" s="567"/>
      <c r="D79" s="721" t="s">
        <v>94</v>
      </c>
      <c r="E79" s="778" t="s">
        <v>1044</v>
      </c>
      <c r="F79" s="716" t="s">
        <v>991</v>
      </c>
      <c r="G79" s="780"/>
      <c r="H79" s="1079"/>
      <c r="I79" s="780"/>
      <c r="J79" s="1079"/>
      <c r="K79" s="345" t="s">
        <v>1045</v>
      </c>
      <c r="X79" s="814">
        <v>0</v>
      </c>
    </row>
    <row s="2774" customFormat="1" customHeight="1" ht="11.25" hidden="1">
      <c r="A80" s="2448"/>
      <c r="B80" s="567"/>
      <c r="D80" s="721" t="s">
        <v>456</v>
      </c>
      <c r="E80" s="779" t="s">
        <v>1046</v>
      </c>
      <c r="F80" s="716" t="s">
        <v>991</v>
      </c>
      <c r="G80" s="780"/>
      <c r="H80" s="1079"/>
      <c r="I80" s="780"/>
      <c r="J80" s="1079"/>
      <c r="K80" s="345"/>
      <c r="X80" s="814">
        <v>0</v>
      </c>
    </row>
    <row s="2774" customFormat="1" customHeight="1" ht="11.25" hidden="1">
      <c r="A81" s="2448"/>
      <c r="B81" s="567"/>
      <c r="D81" s="721" t="s">
        <v>464</v>
      </c>
      <c r="E81" s="779" t="s">
        <v>1047</v>
      </c>
      <c r="F81" s="716" t="s">
        <v>991</v>
      </c>
      <c r="G81" s="780"/>
      <c r="H81" s="1079"/>
      <c r="I81" s="780"/>
      <c r="J81" s="1079"/>
      <c r="K81" s="345"/>
      <c r="X81" s="814">
        <v>0</v>
      </c>
    </row>
    <row s="2774" customFormat="1" customHeight="1" ht="11.25" hidden="1">
      <c r="A82" s="2448"/>
      <c r="B82" s="567"/>
      <c r="D82" s="721" t="s">
        <v>466</v>
      </c>
      <c r="E82" s="779" t="s">
        <v>1048</v>
      </c>
      <c r="F82" s="716" t="s">
        <v>991</v>
      </c>
      <c r="G82" s="780"/>
      <c r="H82" s="1079"/>
      <c r="I82" s="780"/>
      <c r="J82" s="1079"/>
      <c r="K82" s="345"/>
      <c r="X82" s="814">
        <v>0</v>
      </c>
    </row>
    <row s="2774" customFormat="1" customHeight="1" ht="11.25" hidden="1">
      <c r="A83" s="2448"/>
      <c r="B83" s="567"/>
      <c r="D83" s="721" t="s">
        <v>468</v>
      </c>
      <c r="E83" s="779" t="s">
        <v>1049</v>
      </c>
      <c r="F83" s="716" t="s">
        <v>991</v>
      </c>
      <c r="G83" s="780"/>
      <c r="H83" s="1079"/>
      <c r="I83" s="780"/>
      <c r="J83" s="1079"/>
      <c r="K83" s="345"/>
      <c r="X83" s="814">
        <v>0</v>
      </c>
    </row>
    <row s="2774" customFormat="1" customHeight="1" ht="11.25" hidden="1">
      <c r="A84" s="2448"/>
      <c r="B84" s="567"/>
      <c r="D84" s="721" t="s">
        <v>1050</v>
      </c>
      <c r="E84" s="779" t="s">
        <v>1051</v>
      </c>
      <c r="F84" s="716" t="s">
        <v>991</v>
      </c>
      <c r="G84" s="780"/>
      <c r="H84" s="1079"/>
      <c r="I84" s="780"/>
      <c r="J84" s="1079"/>
      <c r="K84" s="345"/>
      <c r="X84" s="814">
        <v>0</v>
      </c>
    </row>
    <row s="2774" customFormat="1" customHeight="1" ht="11.25" hidden="1">
      <c r="A85" s="2448"/>
      <c r="B85" s="567"/>
      <c r="D85" s="721" t="s">
        <v>1052</v>
      </c>
      <c r="E85" s="779" t="s">
        <v>1053</v>
      </c>
      <c r="F85" s="716" t="s">
        <v>991</v>
      </c>
      <c r="G85" s="780"/>
      <c r="H85" s="1079"/>
      <c r="I85" s="780"/>
      <c r="J85" s="1079"/>
      <c r="K85" s="345"/>
      <c r="X85" s="814">
        <v>0</v>
      </c>
    </row>
    <row s="2774" customFormat="1" customHeight="1" ht="11.25" hidden="1">
      <c r="A86" s="2448"/>
      <c r="B86" s="567"/>
      <c r="D86" s="721" t="s">
        <v>1054</v>
      </c>
      <c r="E86" s="779" t="s">
        <v>1055</v>
      </c>
      <c r="F86" s="716" t="s">
        <v>991</v>
      </c>
      <c r="G86" s="780"/>
      <c r="H86" s="1079"/>
      <c r="I86" s="780"/>
      <c r="J86" s="1079"/>
      <c r="K86" s="345"/>
      <c r="X86" s="814">
        <v>0</v>
      </c>
    </row>
    <row s="2774" customFormat="1" customHeight="1" ht="45" hidden="1">
      <c r="A87" s="2448"/>
      <c r="B87" s="567"/>
      <c r="D87" s="721" t="s">
        <v>95</v>
      </c>
      <c r="E87" s="722" t="s">
        <v>1056</v>
      </c>
      <c r="F87" s="716" t="s">
        <v>991</v>
      </c>
      <c r="G87" s="780"/>
      <c r="H87" s="1079"/>
      <c r="I87" s="780"/>
      <c r="J87" s="1079"/>
      <c r="K87" s="345" t="s">
        <v>1057</v>
      </c>
      <c r="X87" s="814">
        <v>0</v>
      </c>
    </row>
    <row s="2774" customFormat="1" customHeight="1" ht="11.25" hidden="1">
      <c r="A88" s="2448"/>
      <c r="B88" s="567"/>
      <c r="D88" s="721" t="s">
        <v>886</v>
      </c>
      <c r="E88" s="779" t="s">
        <v>1046</v>
      </c>
      <c r="F88" s="716" t="s">
        <v>991</v>
      </c>
      <c r="G88" s="780"/>
      <c r="H88" s="1079"/>
      <c r="I88" s="780"/>
      <c r="J88" s="1079"/>
      <c r="K88" s="345"/>
      <c r="X88" s="814">
        <v>0</v>
      </c>
    </row>
    <row s="2774" customFormat="1" customHeight="1" ht="11.25" hidden="1">
      <c r="A89" s="2448"/>
      <c r="B89" s="567"/>
      <c r="D89" s="721" t="s">
        <v>928</v>
      </c>
      <c r="E89" s="779" t="s">
        <v>1047</v>
      </c>
      <c r="F89" s="716" t="s">
        <v>991</v>
      </c>
      <c r="G89" s="780"/>
      <c r="H89" s="1079"/>
      <c r="I89" s="780"/>
      <c r="J89" s="1079"/>
      <c r="K89" s="345"/>
      <c r="X89" s="814">
        <v>0</v>
      </c>
    </row>
    <row s="2774" customFormat="1" customHeight="1" ht="11.25" hidden="1">
      <c r="A90" s="2448"/>
      <c r="B90" s="567"/>
      <c r="D90" s="721" t="s">
        <v>931</v>
      </c>
      <c r="E90" s="779" t="s">
        <v>1048</v>
      </c>
      <c r="F90" s="716" t="s">
        <v>991</v>
      </c>
      <c r="G90" s="780"/>
      <c r="H90" s="1079"/>
      <c r="I90" s="780"/>
      <c r="J90" s="1079"/>
      <c r="K90" s="345"/>
      <c r="X90" s="814">
        <v>0</v>
      </c>
    </row>
    <row s="2774" customFormat="1" customHeight="1" ht="11.25" hidden="1">
      <c r="A91" s="2448"/>
      <c r="B91" s="567"/>
      <c r="D91" s="721" t="s">
        <v>1009</v>
      </c>
      <c r="E91" s="779" t="s">
        <v>1049</v>
      </c>
      <c r="F91" s="716" t="s">
        <v>991</v>
      </c>
      <c r="G91" s="780"/>
      <c r="H91" s="1079"/>
      <c r="I91" s="780"/>
      <c r="J91" s="1079"/>
      <c r="K91" s="345"/>
      <c r="X91" s="814">
        <v>0</v>
      </c>
    </row>
    <row s="2774" customFormat="1" customHeight="1" ht="11.25" hidden="1">
      <c r="A92" s="2448"/>
      <c r="B92" s="567"/>
      <c r="D92" s="721" t="s">
        <v>1011</v>
      </c>
      <c r="E92" s="779" t="s">
        <v>1051</v>
      </c>
      <c r="F92" s="716" t="s">
        <v>991</v>
      </c>
      <c r="G92" s="780"/>
      <c r="H92" s="1079"/>
      <c r="I92" s="780"/>
      <c r="J92" s="1079"/>
      <c r="K92" s="345"/>
      <c r="X92" s="814">
        <v>0</v>
      </c>
    </row>
    <row s="2774" customFormat="1" customHeight="1" ht="11.25" hidden="1">
      <c r="A93" s="2448"/>
      <c r="B93" s="567"/>
      <c r="D93" s="721" t="s">
        <v>1058</v>
      </c>
      <c r="E93" s="779" t="s">
        <v>1053</v>
      </c>
      <c r="F93" s="716" t="s">
        <v>991</v>
      </c>
      <c r="G93" s="780"/>
      <c r="H93" s="1079"/>
      <c r="I93" s="780"/>
      <c r="J93" s="1079"/>
      <c r="K93" s="345"/>
      <c r="X93" s="814">
        <v>0</v>
      </c>
    </row>
    <row s="2774" customFormat="1" customHeight="1" ht="11.25" hidden="1">
      <c r="A94" s="2448"/>
      <c r="B94" s="567"/>
      <c r="D94" s="721" t="s">
        <v>1059</v>
      </c>
      <c r="E94" s="779" t="s">
        <v>1055</v>
      </c>
      <c r="F94" s="716" t="s">
        <v>991</v>
      </c>
      <c r="G94" s="780"/>
      <c r="H94" s="1079"/>
      <c r="I94" s="780"/>
      <c r="J94" s="1079"/>
      <c r="K94" s="345"/>
      <c r="X94" s="814">
        <v>0</v>
      </c>
    </row>
    <row s="2774" customFormat="1" customHeight="1" ht="24.75" hidden="1">
      <c r="A95" s="2448"/>
      <c r="B95" s="567"/>
      <c r="D95" s="721" t="s">
        <v>122</v>
      </c>
      <c r="E95" s="722" t="s">
        <v>1060</v>
      </c>
      <c r="F95" s="781" t="s">
        <v>691</v>
      </c>
      <c r="G95" s="783"/>
      <c r="H95" s="1079"/>
      <c r="I95" s="783"/>
      <c r="J95" s="1079"/>
      <c r="K95" s="345" t="s">
        <v>1061</v>
      </c>
      <c r="X95" s="814">
        <v>0</v>
      </c>
    </row>
    <row s="2774" customFormat="1" customHeight="1" ht="33.75" hidden="1">
      <c r="A96" s="2448"/>
      <c r="B96" s="567"/>
      <c r="D96" s="721" t="s">
        <v>96</v>
      </c>
      <c r="E96" s="722" t="s">
        <v>1062</v>
      </c>
      <c r="F96" s="782" t="s">
        <v>952</v>
      </c>
      <c r="G96" s="784"/>
      <c r="H96" s="1079"/>
      <c r="I96" s="784"/>
      <c r="J96" s="1079"/>
      <c r="K96" s="345"/>
      <c r="X96" s="814">
        <v>0</v>
      </c>
    </row>
    <row s="2774" customFormat="1" customHeight="1" ht="22.5" hidden="1">
      <c r="A97" s="2448"/>
      <c r="B97" s="567" t="s">
        <v>721</v>
      </c>
      <c r="D97" s="721" t="s">
        <v>97</v>
      </c>
      <c r="E97" s="722" t="s">
        <v>1063</v>
      </c>
      <c r="F97" s="782" t="s">
        <v>438</v>
      </c>
      <c r="G97" s="441"/>
      <c r="H97" s="1079"/>
      <c r="I97" s="441"/>
      <c r="J97" s="1079"/>
      <c r="K97" s="345" t="s">
        <v>764</v>
      </c>
      <c r="X97" s="814">
        <v>0</v>
      </c>
    </row>
    <row s="2774" customFormat="1" customHeight="1" ht="45" hidden="1">
      <c r="A98" s="2448"/>
      <c r="B98" s="567" t="s">
        <v>721</v>
      </c>
      <c r="D98" s="721" t="s">
        <v>1064</v>
      </c>
      <c r="E98" s="723" t="s">
        <v>1065</v>
      </c>
      <c r="F98" s="777" t="s">
        <v>438</v>
      </c>
      <c r="G98" s="441"/>
      <c r="H98" s="1079"/>
      <c r="I98" s="441"/>
      <c r="J98" s="1079"/>
      <c r="K98" s="345" t="s">
        <v>764</v>
      </c>
      <c r="X98" s="814">
        <v>0</v>
      </c>
    </row>
    <row s="2774" customFormat="1" customHeight="1" ht="95.25" hidden="1">
      <c r="A99" s="2448"/>
      <c r="B99" s="567" t="s">
        <v>721</v>
      </c>
      <c r="D99" s="721" t="s">
        <v>135</v>
      </c>
      <c r="E99" s="722" t="s">
        <v>1066</v>
      </c>
      <c r="F99" s="777" t="s">
        <v>438</v>
      </c>
      <c r="G99" s="441"/>
      <c r="H99" s="1079"/>
      <c r="I99" s="441"/>
      <c r="J99" s="1079"/>
      <c r="K99" s="345" t="s">
        <v>764</v>
      </c>
      <c r="X99" s="814">
        <v>0</v>
      </c>
    </row>
    <row s="2774" customFormat="1" customHeight="1" ht="22.5" hidden="1">
      <c r="A100" s="2448"/>
      <c r="B100" s="567" t="s">
        <v>721</v>
      </c>
      <c r="D100" s="721" t="s">
        <v>140</v>
      </c>
      <c r="E100" s="722" t="s">
        <v>1067</v>
      </c>
      <c r="F100" s="777" t="s">
        <v>438</v>
      </c>
      <c r="G100" s="441"/>
      <c r="H100" s="1079"/>
      <c r="I100" s="441"/>
      <c r="J100" s="1079"/>
      <c r="K100" s="345" t="s">
        <v>764</v>
      </c>
      <c r="X100" s="814">
        <v>0</v>
      </c>
    </row>
    <row s="2774" customFormat="1" customHeight="1" ht="11.549999999999999">
      <c r="A101" s="1089"/>
      <c r="B101" s="574"/>
      <c r="D101" s="1090"/>
      <c r="E101" s="1091"/>
      <c r="X101" s="565">
        <v>11</v>
      </c>
    </row>
    <row customHeight="1" ht="22.5" hidden="1">
      <c r="A102" s="592" t="s">
        <v>86</v>
      </c>
      <c r="B102" s="567">
        <v>0</v>
      </c>
      <c r="C102" s="561">
        <v>3</v>
      </c>
      <c r="D102" s="561">
        <v>7</v>
      </c>
      <c r="E102" s="561">
        <v>69</v>
      </c>
      <c r="F102" s="561">
        <v>10</v>
      </c>
      <c r="G102" s="561">
        <v>0</v>
      </c>
      <c r="H102" s="561">
        <v>0</v>
      </c>
      <c r="I102" s="814">
        <v>43</v>
      </c>
      <c r="J102" s="814">
        <v>43</v>
      </c>
      <c r="K102" s="561">
        <v>73</v>
      </c>
      <c r="L102" s="561">
        <v>3</v>
      </c>
      <c r="M102" s="561">
        <v>10</v>
      </c>
      <c r="N102" s="561">
        <v>10</v>
      </c>
      <c r="O102" s="561">
        <v>10</v>
      </c>
      <c r="P102" s="561">
        <v>10</v>
      </c>
      <c r="Q102" s="561">
        <v>10</v>
      </c>
      <c r="R102" s="561">
        <v>10</v>
      </c>
      <c r="S102" s="561">
        <v>10</v>
      </c>
      <c r="T102" s="561">
        <v>10</v>
      </c>
      <c r="U102" s="561">
        <v>10</v>
      </c>
      <c r="V102" s="561">
        <v>10</v>
      </c>
      <c r="W102" s="561">
        <v>10</v>
      </c>
      <c r="X102" s="561">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3D9CE5-7807-9A5C-80BC-63B916A01BB5}" mc:Ignorable="x14ac xr xr2 xr3">
  <sheetPr>
    <tabColor rgb="FFCCCCFF"/>
  </sheetPr>
  <dimension ref="A1:AM17"/>
  <sheetViews>
    <sheetView topLeftCell="A1" showGridLines="0" zoomScale="90" workbookViewId="0">
      <selection activeCell="A1" sqref="A1"/>
    </sheetView>
  </sheetViews>
  <sheetFormatPr defaultColWidth="9.140625" customHeight="1" defaultRowHeight="11.25"/>
  <cols>
    <col min="1" max="1" style="2983" width="6.421875" hidden="1" customWidth="1"/>
    <col min="2" max="2" style="2983" width="2.00390625" hidden="1" customWidth="1"/>
    <col min="3" max="3" style="2983" width="3.00390625" customWidth="1"/>
    <col min="4" max="4" style="2983" width="4.00390625" customWidth="1"/>
    <col min="5" max="5" style="2983" width="44.00390625" customWidth="1"/>
    <col min="6" max="6" style="2983" width="6.421875" customWidth="1"/>
    <col min="7" max="7" style="2983" width="4.00390625" customWidth="1"/>
    <col min="8" max="8" style="2983" width="5.00390625" customWidth="1"/>
    <col min="9" max="9" style="2983" width="52.00390625" customWidth="1"/>
    <col min="10" max="10" style="2983" width="7.00390625" customWidth="1"/>
    <col min="11" max="11" style="2983" width="3.00390625" customWidth="1"/>
    <col min="12" max="12" style="2983" width="6.00390625" customWidth="1"/>
    <col min="13" max="13" style="2983" width="56.00390625" customWidth="1"/>
    <col min="14" max="14" style="3034" width="8.00390625" customWidth="1"/>
    <col min="15" max="20" style="2933" width="9.140625" hidden="1"/>
    <col min="21" max="24" style="3018" width="9.140625" hidden="1"/>
    <col min="25" max="37" style="3034" width="9.140625" hidden="1"/>
    <col min="38" max="38" style="3034" width="8.00390625" customWidth="1"/>
    <col min="39" max="39" style="2983" width="9.140625" hidden="1"/>
  </cols>
  <sheetData>
    <row customHeight="1" ht="11.25" hidden="1">
      <c r="AM1" s="639" t="s">
        <v>14</v>
      </c>
    </row>
    <row customHeight="1" ht="11.25" hidden="1">
      <c r="AM2" s="639">
        <v>0</v>
      </c>
    </row>
    <row customHeight="1" ht="11.549999999999999">
      <c r="AM3" s="639">
        <v>11</v>
      </c>
    </row>
    <row customHeight="1" ht="35.699999999999996">
      <c r="A4" s="641"/>
      <c r="B4" s="641"/>
      <c r="D4" s="2175" t="str">
        <f>Титульный!E5</f>
        <v>Показатели, подлежащие раскрытию в сфере холодного водоснабжения (цены и тарифы)</v>
      </c>
      <c r="E4" s="2176"/>
      <c r="F4" s="2176"/>
      <c r="G4" s="2176"/>
      <c r="H4" s="2176"/>
      <c r="I4" s="2177"/>
      <c r="J4" s="640"/>
      <c r="K4" s="640"/>
      <c r="L4" s="640"/>
      <c r="M4" s="640"/>
      <c r="AM4" s="639">
        <v>34</v>
      </c>
    </row>
    <row s="2956" customFormat="1" customHeight="1" ht="14.699999999999998">
      <c r="A5" s="641"/>
      <c r="B5" s="641"/>
      <c r="C5" s="641"/>
      <c r="D5" s="2178" t="str">
        <f>IF(org=0,"Не определено",org)</f>
        <v>МУП ЖКХ "Родник"</v>
      </c>
      <c r="E5" s="2179"/>
      <c r="F5" s="2179"/>
      <c r="G5" s="2179"/>
      <c r="H5" s="2179"/>
      <c r="I5" s="2180"/>
      <c r="J5" s="642"/>
      <c r="K5" s="642"/>
      <c r="L5" s="642"/>
      <c r="M5" s="642"/>
      <c r="N5" s="642"/>
      <c r="O5" s="926"/>
      <c r="P5" s="926"/>
      <c r="Q5" s="926"/>
      <c r="R5" s="926"/>
      <c r="S5" s="926"/>
      <c r="T5" s="926"/>
      <c r="U5" s="1317"/>
      <c r="V5" s="1317"/>
      <c r="W5" s="1317"/>
      <c r="X5" s="1317"/>
      <c r="Y5" s="642"/>
      <c r="Z5" s="642"/>
      <c r="AA5" s="642"/>
      <c r="AB5" s="642"/>
      <c r="AC5" s="642"/>
      <c r="AD5" s="642"/>
      <c r="AE5" s="642"/>
      <c r="AF5" s="642"/>
      <c r="AG5" s="642"/>
      <c r="AH5" s="642"/>
      <c r="AI5" s="642"/>
      <c r="AJ5" s="642"/>
      <c r="AK5" s="642"/>
      <c r="AL5" s="642"/>
      <c r="AM5" s="643">
        <v>14</v>
      </c>
    </row>
    <row s="2956" customFormat="1" customHeight="1" ht="6.3">
      <c r="A6" s="2181"/>
      <c r="B6" s="2181"/>
      <c r="C6" s="2181"/>
      <c r="D6" s="2181"/>
      <c r="E6" s="2181"/>
      <c r="F6" s="2181"/>
      <c r="G6" s="644"/>
      <c r="H6" s="644"/>
      <c r="I6" s="644"/>
      <c r="J6" s="644"/>
      <c r="K6" s="644"/>
      <c r="N6" s="646"/>
      <c r="O6" s="1470"/>
      <c r="P6" s="1470"/>
      <c r="Q6" s="1470"/>
      <c r="R6" s="1470"/>
      <c r="S6" s="1470"/>
      <c r="T6" s="1470"/>
      <c r="U6" s="1320"/>
      <c r="V6" s="1320"/>
      <c r="W6" s="1320"/>
      <c r="X6" s="1320"/>
      <c r="Y6" s="646"/>
      <c r="Z6" s="646"/>
      <c r="AA6" s="646"/>
      <c r="AB6" s="646"/>
      <c r="AC6" s="646"/>
      <c r="AD6" s="646"/>
      <c r="AE6" s="646"/>
      <c r="AF6" s="646"/>
      <c r="AG6" s="646"/>
      <c r="AH6" s="646"/>
      <c r="AI6" s="646"/>
      <c r="AJ6" s="646"/>
      <c r="AK6" s="646"/>
      <c r="AL6" s="646"/>
      <c r="AM6" s="645">
        <v>6</v>
      </c>
    </row>
    <row customHeight="1" ht="45.75" hidden="1">
      <c r="E7" s="218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87"/>
      <c r="G7" s="2187"/>
      <c r="H7" s="2187"/>
      <c r="I7" s="2187"/>
      <c r="J7" s="2187"/>
      <c r="K7" s="2187"/>
      <c r="L7" s="2187"/>
      <c r="M7" s="2187"/>
      <c r="AM7" s="639">
        <v>0</v>
      </c>
    </row>
    <row s="2956" customFormat="1" customHeight="1" ht="6.3">
      <c r="A8" s="647"/>
      <c r="B8" s="647"/>
      <c r="C8" s="647"/>
      <c r="D8" s="647"/>
      <c r="E8" s="647"/>
      <c r="F8" s="647"/>
      <c r="G8" s="647"/>
      <c r="H8" s="647"/>
      <c r="I8" s="647"/>
      <c r="J8" s="647"/>
      <c r="K8" s="647"/>
      <c r="L8" s="647"/>
      <c r="M8" s="645"/>
      <c r="N8" s="642"/>
      <c r="O8" s="926"/>
      <c r="P8" s="926"/>
      <c r="Q8" s="926"/>
      <c r="R8" s="926"/>
      <c r="S8" s="926"/>
      <c r="T8" s="926"/>
      <c r="U8" s="1317"/>
      <c r="V8" s="1317"/>
      <c r="W8" s="1317"/>
      <c r="X8" s="1317"/>
      <c r="Y8" s="642"/>
      <c r="Z8" s="642"/>
      <c r="AA8" s="642"/>
      <c r="AB8" s="642"/>
      <c r="AC8" s="642"/>
      <c r="AD8" s="642"/>
      <c r="AE8" s="642"/>
      <c r="AF8" s="642"/>
      <c r="AG8" s="642"/>
      <c r="AH8" s="642"/>
      <c r="AI8" s="642"/>
      <c r="AJ8" s="642"/>
      <c r="AK8" s="642"/>
      <c r="AL8" s="642"/>
      <c r="AM8" s="643">
        <v>6</v>
      </c>
    </row>
    <row customHeight="1" ht="18.75">
      <c r="A9" s="2182"/>
      <c r="B9" s="379"/>
      <c r="C9" s="379"/>
      <c r="D9" s="2183" t="s">
        <v>187</v>
      </c>
      <c r="E9" s="2183"/>
      <c r="F9" s="2184" t="s">
        <v>188</v>
      </c>
      <c r="G9" s="2185"/>
      <c r="H9" s="2185"/>
      <c r="I9" s="2185"/>
      <c r="J9" s="2188" t="s">
        <v>189</v>
      </c>
      <c r="K9" s="2188"/>
      <c r="L9" s="2188"/>
      <c r="M9" s="2188"/>
      <c r="AM9" s="639">
        <v>18</v>
      </c>
    </row>
    <row customHeight="1" ht="24">
      <c r="A10" s="2182"/>
      <c r="B10" s="648"/>
      <c r="C10" s="581"/>
      <c r="D10" s="579" t="s">
        <v>92</v>
      </c>
      <c r="E10" s="579" t="s">
        <v>93</v>
      </c>
      <c r="F10" s="579" t="s">
        <v>190</v>
      </c>
      <c r="G10" s="2189" t="s">
        <v>92</v>
      </c>
      <c r="H10" s="2190"/>
      <c r="I10" s="579" t="s">
        <v>93</v>
      </c>
      <c r="J10" s="579" t="s">
        <v>190</v>
      </c>
      <c r="K10" s="2189" t="s">
        <v>92</v>
      </c>
      <c r="L10" s="2190"/>
      <c r="M10" s="579" t="s">
        <v>93</v>
      </c>
      <c r="N10" s="1683"/>
      <c r="AM10" s="639">
        <v>23</v>
      </c>
    </row>
    <row s="2983" customFormat="1" customHeight="1" ht="11.25" hidden="1">
      <c r="A11" s="649"/>
      <c r="B11" s="649"/>
      <c r="C11" s="649"/>
      <c r="D11" s="650" t="s">
        <v>191</v>
      </c>
      <c r="E11" s="650" t="s">
        <v>108</v>
      </c>
      <c r="F11" s="650" t="s">
        <v>94</v>
      </c>
      <c r="G11" s="2171" t="s">
        <v>95</v>
      </c>
      <c r="H11" s="2172"/>
      <c r="I11" s="650" t="s">
        <v>122</v>
      </c>
      <c r="J11" s="650" t="s">
        <v>96</v>
      </c>
      <c r="K11" s="2173" t="s">
        <v>97</v>
      </c>
      <c r="L11" s="2174"/>
      <c r="M11" s="650" t="s">
        <v>135</v>
      </c>
      <c r="N11" s="1682"/>
      <c r="O11" s="1469"/>
      <c r="P11" s="1471"/>
      <c r="Q11" s="1471"/>
      <c r="R11" s="1471"/>
      <c r="S11" s="1471"/>
      <c r="T11" s="1471"/>
      <c r="U11" s="1321"/>
      <c r="V11" s="1321"/>
      <c r="W11" s="1321"/>
      <c r="X11" s="1321"/>
      <c r="Y11" s="651"/>
      <c r="Z11" s="651"/>
      <c r="AA11" s="651"/>
      <c r="AB11" s="651"/>
      <c r="AC11" s="651"/>
      <c r="AD11" s="651"/>
      <c r="AE11" s="651"/>
      <c r="AF11" s="651"/>
      <c r="AG11" s="651"/>
      <c r="AH11" s="651"/>
      <c r="AI11" s="651"/>
      <c r="AJ11" s="651"/>
      <c r="AK11" s="651"/>
      <c r="AL11" s="651"/>
      <c r="AM11" s="652">
        <v>0</v>
      </c>
    </row>
    <row customHeight="1" ht="1.05">
      <c r="A12" s="653"/>
      <c r="B12" s="654"/>
      <c r="C12" s="654"/>
      <c r="D12" s="655"/>
      <c r="E12" s="423"/>
      <c r="F12" s="656"/>
      <c r="G12" s="1115"/>
      <c r="H12" s="1115"/>
      <c r="I12" s="656"/>
      <c r="J12" s="656"/>
      <c r="K12" s="230"/>
      <c r="L12" s="423"/>
      <c r="M12" s="657"/>
      <c r="N12" s="1683"/>
      <c r="O12" s="1469" t="s">
        <v>192</v>
      </c>
      <c r="P12" s="1469" t="s">
        <v>193</v>
      </c>
      <c r="Q12" s="1469" t="s">
        <v>194</v>
      </c>
      <c r="R12" s="1469" t="s">
        <v>195</v>
      </c>
      <c r="AM12" s="639">
        <v>1</v>
      </c>
    </row>
    <row s="2983" customFormat="1" customHeight="1" ht="15.75">
      <c r="A13" s="349"/>
      <c r="B13" s="349"/>
      <c r="C13" s="582"/>
      <c r="D13" s="2164" t="s">
        <v>191</v>
      </c>
      <c r="E13" s="2165"/>
      <c r="F13" s="2168" t="s">
        <v>65</v>
      </c>
      <c r="G13" s="2169"/>
      <c r="H13" s="2170">
        <v>1</v>
      </c>
      <c r="I13" s="2161" t="str">
        <f>IF(U13="","",INDEX(TERRITORY_MR_LIST,MATCH(U13,TERRITORY_LIST_ID,0)))</f>
        <v/>
      </c>
      <c r="J13" s="2163" t="s">
        <v>19</v>
      </c>
      <c r="K13" s="658"/>
      <c r="L13" s="583" t="s">
        <v>191</v>
      </c>
      <c r="M13" s="659" t="s">
        <v>28</v>
      </c>
      <c r="N13" s="868"/>
      <c r="O13" s="1472" t="s">
        <v>196</v>
      </c>
      <c r="P13" s="1469">
        <f>$E$13</f>
        <v>0</v>
      </c>
      <c r="Q13" s="1469" t="str">
        <f>IF($F$13="нет","без дифференциации",$I$13)</f>
        <v/>
      </c>
      <c r="R13" s="1469" t="str">
        <f>IF($J$13="нет","без дифференциации",M13)</f>
        <v>без дифференциации</v>
      </c>
      <c r="S13" s="1472"/>
      <c r="T13" s="1472"/>
      <c r="U13" s="1322"/>
      <c r="V13" s="1322"/>
      <c r="W13" s="1322"/>
      <c r="X13" s="1322"/>
      <c r="Y13" s="660" t="s">
        <v>197</v>
      </c>
      <c r="Z13" s="660">
        <v>1705000</v>
      </c>
      <c r="AA13" s="660"/>
      <c r="AB13" s="660"/>
      <c r="AC13" s="660"/>
      <c r="AD13" s="660"/>
      <c r="AE13" s="660"/>
      <c r="AF13" s="660"/>
      <c r="AG13" s="660"/>
      <c r="AH13" s="660"/>
      <c r="AI13" s="660"/>
      <c r="AJ13" s="660"/>
      <c r="AK13" s="660"/>
      <c r="AL13" s="660"/>
      <c r="AM13" s="662">
        <v>15</v>
      </c>
    </row>
    <row s="2983" customFormat="1" customHeight="1" ht="15.75">
      <c r="A14" s="349"/>
      <c r="B14" s="349"/>
      <c r="C14" s="232"/>
      <c r="D14" s="2164"/>
      <c r="E14" s="2166"/>
      <c r="F14" s="2163"/>
      <c r="G14" s="2169"/>
      <c r="H14" s="2170"/>
      <c r="I14" s="2162"/>
      <c r="J14" s="2163"/>
      <c r="K14" s="477"/>
      <c r="L14" s="233"/>
      <c r="M14" s="663" t="s">
        <v>198</v>
      </c>
      <c r="N14" s="868"/>
      <c r="O14" s="1472"/>
      <c r="P14" s="1469"/>
      <c r="Q14" s="1469"/>
      <c r="R14" s="1469"/>
      <c r="S14" s="1472"/>
      <c r="T14" s="1472"/>
      <c r="U14" s="1322"/>
      <c r="V14" s="1322"/>
      <c r="W14" s="1322"/>
      <c r="X14" s="1322"/>
      <c r="Y14" s="660"/>
      <c r="Z14" s="660"/>
      <c r="AA14" s="660"/>
      <c r="AB14" s="660"/>
      <c r="AC14" s="660"/>
      <c r="AD14" s="660"/>
      <c r="AE14" s="660"/>
      <c r="AF14" s="660"/>
      <c r="AG14" s="660"/>
      <c r="AH14" s="660"/>
      <c r="AI14" s="660"/>
      <c r="AJ14" s="660"/>
      <c r="AK14" s="660"/>
      <c r="AL14" s="660"/>
      <c r="AM14" s="662">
        <v>15</v>
      </c>
    </row>
    <row s="2983" customFormat="1" customHeight="1" ht="15.75">
      <c r="A15" s="349"/>
      <c r="B15" s="349"/>
      <c r="C15" s="232"/>
      <c r="D15" s="2164"/>
      <c r="E15" s="2167"/>
      <c r="F15" s="2163"/>
      <c r="G15" s="1116"/>
      <c r="H15" s="1117"/>
      <c r="I15" s="636" t="s">
        <v>199</v>
      </c>
      <c r="J15" s="233"/>
      <c r="K15" s="233"/>
      <c r="L15" s="233"/>
      <c r="M15" s="664"/>
      <c r="N15" s="868"/>
      <c r="O15" s="1472"/>
      <c r="P15" s="1469"/>
      <c r="Q15" s="1469"/>
      <c r="R15" s="1469"/>
      <c r="S15" s="1472"/>
      <c r="T15" s="1472"/>
      <c r="U15" s="1322"/>
      <c r="V15" s="1322"/>
      <c r="W15" s="1322"/>
      <c r="X15" s="1322"/>
      <c r="Y15" s="660"/>
      <c r="Z15" s="660"/>
      <c r="AA15" s="660"/>
      <c r="AB15" s="660"/>
      <c r="AC15" s="660"/>
      <c r="AD15" s="660"/>
      <c r="AE15" s="660"/>
      <c r="AF15" s="660"/>
      <c r="AG15" s="660"/>
      <c r="AH15" s="660"/>
      <c r="AI15" s="660"/>
      <c r="AJ15" s="660"/>
      <c r="AK15" s="660"/>
      <c r="AL15" s="660"/>
      <c r="AM15" s="662">
        <v>15</v>
      </c>
    </row>
    <row customHeight="1" ht="15.75">
      <c r="A16" s="665"/>
      <c r="B16" s="191"/>
      <c r="C16" s="862"/>
      <c r="D16" s="477"/>
      <c r="E16" s="627" t="s">
        <v>200</v>
      </c>
      <c r="F16" s="233"/>
      <c r="G16" s="233"/>
      <c r="H16" s="233"/>
      <c r="I16" s="233"/>
      <c r="J16" s="233"/>
      <c r="K16" s="233" t="s">
        <v>28</v>
      </c>
      <c r="L16" s="233"/>
      <c r="M16" s="664"/>
      <c r="N16" s="1683"/>
      <c r="AM16" s="639">
        <v>15</v>
      </c>
    </row>
    <row customHeight="1" ht="11.25" hidden="1">
      <c r="A17" s="639" t="s">
        <v>86</v>
      </c>
      <c r="B17" s="639">
        <v>0</v>
      </c>
      <c r="C17" s="639">
        <v>3</v>
      </c>
      <c r="D17" s="639">
        <v>4</v>
      </c>
      <c r="E17" s="639">
        <v>44</v>
      </c>
      <c r="F17" s="639">
        <v>6</v>
      </c>
      <c r="G17" s="639">
        <v>4</v>
      </c>
      <c r="H17" s="639">
        <v>5</v>
      </c>
      <c r="I17" s="639">
        <v>52</v>
      </c>
      <c r="J17" s="639">
        <v>6</v>
      </c>
      <c r="K17" s="639">
        <v>3</v>
      </c>
      <c r="L17" s="639">
        <v>6</v>
      </c>
      <c r="M17" s="639">
        <v>56</v>
      </c>
      <c r="N17" s="640">
        <v>8</v>
      </c>
      <c r="O17" s="1469">
        <v>0</v>
      </c>
      <c r="P17" s="1469">
        <v>0</v>
      </c>
      <c r="Q17" s="1469">
        <v>0</v>
      </c>
      <c r="R17" s="1469">
        <v>0</v>
      </c>
      <c r="S17" s="1469">
        <v>0</v>
      </c>
      <c r="T17" s="1469">
        <v>0</v>
      </c>
      <c r="U17" s="1319">
        <v>0</v>
      </c>
      <c r="V17" s="1319">
        <v>0</v>
      </c>
      <c r="W17" s="1319">
        <v>0</v>
      </c>
      <c r="X17" s="1319">
        <v>0</v>
      </c>
      <c r="Y17" s="640">
        <v>0</v>
      </c>
      <c r="Z17" s="640">
        <v>0</v>
      </c>
      <c r="AA17" s="640">
        <v>0</v>
      </c>
      <c r="AB17" s="640">
        <v>0</v>
      </c>
      <c r="AC17" s="640">
        <v>0</v>
      </c>
      <c r="AD17" s="640">
        <v>0</v>
      </c>
      <c r="AE17" s="640">
        <v>0</v>
      </c>
      <c r="AF17" s="640">
        <v>0</v>
      </c>
      <c r="AG17" s="640">
        <v>0</v>
      </c>
      <c r="AH17" s="640">
        <v>0</v>
      </c>
      <c r="AI17" s="640">
        <v>0</v>
      </c>
      <c r="AJ17" s="640">
        <v>0</v>
      </c>
      <c r="AK17" s="640">
        <v>0</v>
      </c>
      <c r="AL17" s="640">
        <v>8</v>
      </c>
      <c r="AM17" s="639">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A2E2FA-3571-8EC7-E346-D67595C9648A}" mc:Ignorable="x14ac xr xr2 xr3">
  <sheetPr>
    <tabColor rgb="FFE26B0A"/>
  </sheetPr>
  <dimension ref="A1:V40"/>
  <sheetViews>
    <sheetView topLeftCell="A1" showGridLines="0" zoomScale="90" workbookViewId="0">
      <selection activeCell="A1" sqref="A1"/>
    </sheetView>
  </sheetViews>
  <sheetFormatPr defaultColWidth="10.57421875" customHeight="1" defaultRowHeight="15"/>
  <cols>
    <col min="1" max="1" style="2738" width="9.140625" hidden="1" customWidth="1"/>
    <col min="2" max="2" style="2774" width="9.140625" hidden="1" customWidth="1"/>
    <col min="3" max="3" style="12709" width="4.00390625" customWidth="1"/>
    <col min="4" max="4" style="2774" width="6.00390625" customWidth="1"/>
    <col min="5" max="5" style="2774" width="36.00390625" customWidth="1"/>
    <col min="6" max="6" style="2774" width="9.00390625" customWidth="1"/>
    <col min="7" max="7" style="2774" width="25.7109375" hidden="1" customWidth="1"/>
    <col min="8" max="8" style="2774" width="33.7109375" hidden="1" customWidth="1"/>
    <col min="9" max="9" style="2774" width="25.7109375" customWidth="1"/>
    <col min="10" max="10" style="2774" width="33.00390625" customWidth="1"/>
    <col min="11" max="11" style="2850" width="93.00390625" customWidth="1"/>
    <col min="12" max="20" style="2774" width="10.00390625" customWidth="1"/>
    <col min="21" max="21" style="12648" width="10.00390625" customWidth="1"/>
    <col min="22" max="22" style="2774" width="10.57421875" hidden="1"/>
  </cols>
  <sheetData>
    <row s="2850" customFormat="1" customHeight="1" ht="22.5" hidden="1">
      <c r="C1" s="728"/>
      <c r="G1" s="473">
        <v>4</v>
      </c>
      <c r="I1" s="473">
        <v>4</v>
      </c>
      <c r="U1" s="476"/>
      <c r="V1" s="473" t="s">
        <v>14</v>
      </c>
    </row>
    <row s="2850" customFormat="1" customHeight="1" ht="15" hidden="1">
      <c r="C2" s="728"/>
      <c r="U2" s="476"/>
      <c r="V2" s="473">
        <v>0</v>
      </c>
    </row>
    <row customHeight="1" ht="22.5" hidden="1">
      <c r="A3" s="561"/>
      <c r="B3" s="2453"/>
      <c r="C3" s="2454" t="s">
        <v>109</v>
      </c>
      <c r="D3" s="745" t="str">
        <f>B3&amp;".1"</f>
        <v>.1</v>
      </c>
      <c r="E3" s="746" t="s">
        <v>1068</v>
      </c>
      <c r="F3" s="747" t="s">
        <v>438</v>
      </c>
      <c r="G3" s="742"/>
      <c r="H3" s="457"/>
      <c r="I3" s="742"/>
      <c r="J3" s="457"/>
      <c r="K3" s="345" t="s">
        <v>1069</v>
      </c>
      <c r="V3" s="561">
        <v>0</v>
      </c>
    </row>
    <row customHeight="1" ht="15" hidden="1">
      <c r="A4" s="561"/>
      <c r="B4" s="2453"/>
      <c r="C4" s="2454"/>
      <c r="D4" s="745" t="str">
        <f>B3&amp;".2"</f>
        <v>.2</v>
      </c>
      <c r="E4" s="746" t="s">
        <v>1070</v>
      </c>
      <c r="F4" s="747" t="s">
        <v>438</v>
      </c>
      <c r="G4" s="1794" t="s">
        <v>28</v>
      </c>
      <c r="H4" s="457"/>
      <c r="I4" s="1794" t="s">
        <v>28</v>
      </c>
      <c r="J4" s="457"/>
      <c r="K4" s="345" t="s">
        <v>1071</v>
      </c>
      <c r="V4" s="561">
        <v>0</v>
      </c>
    </row>
    <row s="2850" customFormat="1" customHeight="1" ht="15" hidden="1">
      <c r="C5" s="728"/>
      <c r="U5" s="476"/>
      <c r="V5" s="473">
        <v>0</v>
      </c>
    </row>
    <row customHeight="1" ht="22.5" hidden="1">
      <c r="A6" s="561"/>
      <c r="B6" s="2453"/>
      <c r="C6" s="2454" t="s">
        <v>109</v>
      </c>
      <c r="D6" s="745" t="str">
        <f>B6&amp;".1"</f>
        <v>.1</v>
      </c>
      <c r="E6" s="746" t="s">
        <v>1072</v>
      </c>
      <c r="F6" s="747" t="s">
        <v>438</v>
      </c>
      <c r="G6" s="742"/>
      <c r="H6" s="457"/>
      <c r="I6" s="742"/>
      <c r="J6" s="457"/>
      <c r="K6" s="345" t="s">
        <v>1073</v>
      </c>
      <c r="V6" s="561">
        <v>0</v>
      </c>
    </row>
    <row customHeight="1" ht="15" hidden="1">
      <c r="A7" s="561"/>
      <c r="B7" s="2453"/>
      <c r="C7" s="2454"/>
      <c r="D7" s="745" t="str">
        <f>B6&amp;".2"</f>
        <v>.2</v>
      </c>
      <c r="E7" s="746" t="s">
        <v>1070</v>
      </c>
      <c r="F7" s="747" t="s">
        <v>438</v>
      </c>
      <c r="G7" s="1794" t="s">
        <v>28</v>
      </c>
      <c r="H7" s="457"/>
      <c r="I7" s="1794" t="s">
        <v>28</v>
      </c>
      <c r="J7" s="457"/>
      <c r="K7" s="345" t="s">
        <v>1071</v>
      </c>
      <c r="V7" s="561">
        <v>0</v>
      </c>
    </row>
    <row s="2850" customFormat="1" customHeight="1" ht="15" hidden="1">
      <c r="C8" s="728"/>
      <c r="U8" s="476"/>
      <c r="V8" s="473">
        <v>0</v>
      </c>
    </row>
    <row customHeight="1" ht="22.5" hidden="1">
      <c r="A9" s="561"/>
      <c r="B9" s="2453"/>
      <c r="C9" s="2454" t="s">
        <v>109</v>
      </c>
      <c r="D9" s="745" t="str">
        <f>B9&amp;".1"</f>
        <v>.1</v>
      </c>
      <c r="E9" s="746" t="s">
        <v>1074</v>
      </c>
      <c r="F9" s="747" t="s">
        <v>438</v>
      </c>
      <c r="G9" s="753" t="s">
        <v>28</v>
      </c>
      <c r="H9" s="457" t="s">
        <v>28</v>
      </c>
      <c r="I9" s="753" t="s">
        <v>28</v>
      </c>
      <c r="J9" s="457" t="s">
        <v>28</v>
      </c>
      <c r="K9" s="345"/>
      <c r="V9" s="561">
        <v>0</v>
      </c>
    </row>
    <row customHeight="1" ht="15" hidden="1">
      <c r="A10" s="561"/>
      <c r="B10" s="2453"/>
      <c r="C10" s="2454"/>
      <c r="D10" s="745" t="str">
        <f>B9&amp;".2"</f>
        <v>.2</v>
      </c>
      <c r="E10" s="746" t="s">
        <v>1075</v>
      </c>
      <c r="F10" s="747" t="s">
        <v>438</v>
      </c>
      <c r="G10" s="1788" t="s">
        <v>28</v>
      </c>
      <c r="H10" s="457" t="s">
        <v>28</v>
      </c>
      <c r="I10" s="1788" t="s">
        <v>28</v>
      </c>
      <c r="J10" s="457" t="s">
        <v>28</v>
      </c>
      <c r="K10" s="345" t="s">
        <v>1076</v>
      </c>
      <c r="V10" s="561">
        <v>0</v>
      </c>
    </row>
    <row customHeight="1" ht="15" hidden="1">
      <c r="A11" s="561"/>
      <c r="B11" s="2453"/>
      <c r="C11" s="2454"/>
      <c r="D11" s="745" t="str">
        <f>B9&amp;".3"</f>
        <v>.3</v>
      </c>
      <c r="E11" s="746" t="s">
        <v>1077</v>
      </c>
      <c r="F11" s="747" t="s">
        <v>438</v>
      </c>
      <c r="G11" s="1788" t="s">
        <v>28</v>
      </c>
      <c r="H11" s="457" t="s">
        <v>28</v>
      </c>
      <c r="I11" s="1788" t="s">
        <v>28</v>
      </c>
      <c r="J11" s="457" t="s">
        <v>28</v>
      </c>
      <c r="K11" s="345" t="s">
        <v>1078</v>
      </c>
      <c r="V11" s="561">
        <v>0</v>
      </c>
    </row>
    <row s="2850" customFormat="1" customHeight="1" ht="15" hidden="1">
      <c r="C12" s="728"/>
      <c r="U12" s="476"/>
      <c r="V12" s="473">
        <v>0</v>
      </c>
    </row>
    <row customHeight="1" ht="33.75" hidden="1">
      <c r="A13" s="561"/>
      <c r="B13" s="2453"/>
      <c r="C13" s="2454" t="s">
        <v>109</v>
      </c>
      <c r="D13" s="745" t="str">
        <f>B13&amp;".1"</f>
        <v>.1</v>
      </c>
      <c r="E13" s="746" t="s">
        <v>1079</v>
      </c>
      <c r="F13" s="747" t="s">
        <v>438</v>
      </c>
      <c r="G13" s="753" t="s">
        <v>28</v>
      </c>
      <c r="H13" s="457" t="s">
        <v>28</v>
      </c>
      <c r="I13" s="753" t="s">
        <v>28</v>
      </c>
      <c r="J13" s="457" t="s">
        <v>28</v>
      </c>
      <c r="K13" s="345" t="s">
        <v>1080</v>
      </c>
      <c r="V13" s="561">
        <v>0</v>
      </c>
    </row>
    <row customHeight="1" ht="15" hidden="1">
      <c r="B14" s="2453"/>
      <c r="C14" s="2454"/>
      <c r="D14" s="745" t="str">
        <f>B13&amp;".2"</f>
        <v>.2</v>
      </c>
      <c r="E14" s="746" t="s">
        <v>1081</v>
      </c>
      <c r="F14" s="747" t="s">
        <v>438</v>
      </c>
      <c r="G14" s="1788" t="s">
        <v>28</v>
      </c>
      <c r="H14" s="457" t="s">
        <v>28</v>
      </c>
      <c r="I14" s="1788" t="s">
        <v>28</v>
      </c>
      <c r="J14" s="457" t="s">
        <v>28</v>
      </c>
      <c r="K14" s="345" t="s">
        <v>1082</v>
      </c>
      <c r="V14" s="561">
        <v>0</v>
      </c>
    </row>
    <row s="2850" customFormat="1" customHeight="1" ht="15" hidden="1">
      <c r="C15" s="728"/>
      <c r="U15" s="476"/>
      <c r="V15" s="473">
        <v>0</v>
      </c>
    </row>
    <row s="2850" customFormat="1" customHeight="1" ht="15" hidden="1">
      <c r="C16" s="728"/>
      <c r="U16" s="476"/>
      <c r="V16" s="473">
        <v>0</v>
      </c>
    </row>
    <row s="2850" customFormat="1" customHeight="1" ht="15" hidden="1">
      <c r="C17" s="728"/>
      <c r="U17" s="476"/>
      <c r="V17" s="473">
        <v>0</v>
      </c>
    </row>
    <row s="2850" customFormat="1" customHeight="1" ht="15" hidden="1">
      <c r="C18" s="728"/>
      <c r="U18" s="476"/>
      <c r="V18" s="473">
        <v>0</v>
      </c>
    </row>
    <row s="2850" customFormat="1" customHeight="1" ht="15" hidden="1">
      <c r="C19" s="728"/>
      <c r="U19" s="476"/>
      <c r="V19" s="473">
        <v>0</v>
      </c>
    </row>
    <row s="2850" customFormat="1" customHeight="1" ht="15" hidden="1">
      <c r="C20" s="728"/>
      <c r="U20" s="476"/>
      <c r="V20" s="473">
        <v>0</v>
      </c>
    </row>
    <row customHeight="1" ht="15.75">
      <c r="C21" s="232"/>
      <c r="D21" s="565"/>
      <c r="E21" s="565"/>
      <c r="F21" s="565"/>
      <c r="G21" s="565"/>
      <c r="H21" s="565"/>
      <c r="I21" s="565"/>
      <c r="J21" s="565"/>
      <c r="V21" s="561">
        <v>15</v>
      </c>
    </row>
    <row customHeight="1" ht="23.25">
      <c r="C22" s="232"/>
      <c r="D22" s="229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93"/>
      <c r="F22" s="2293"/>
      <c r="G22" s="2293"/>
      <c r="H22" s="2293"/>
      <c r="I22" s="2293"/>
      <c r="J22" s="732"/>
      <c r="K22" s="593"/>
      <c r="V22" s="561">
        <v>22</v>
      </c>
    </row>
    <row customHeight="1" ht="15.75">
      <c r="C23" s="232"/>
      <c r="D23" s="2232" t="str">
        <f>IF(org=0,"Не определено",org)</f>
        <v>МУП ЖКХ "Родник"</v>
      </c>
      <c r="E23" s="2232"/>
      <c r="F23" s="2232"/>
      <c r="G23" s="2232"/>
      <c r="H23" s="2232"/>
      <c r="I23" s="2232"/>
      <c r="J23" s="732"/>
      <c r="K23" s="593"/>
      <c r="V23" s="561">
        <v>15</v>
      </c>
    </row>
    <row customHeight="1" ht="15.75">
      <c r="C24" s="232"/>
      <c r="D24" s="565"/>
      <c r="E24" s="565"/>
      <c r="F24" s="565"/>
      <c r="G24" s="593">
        <v>22</v>
      </c>
      <c r="H24" s="808"/>
      <c r="I24" s="593">
        <v>22</v>
      </c>
      <c r="J24" s="808"/>
      <c r="V24" s="561">
        <v>15</v>
      </c>
    </row>
    <row s="2774" customFormat="1" customHeight="1" ht="1.05">
      <c r="A25" s="815"/>
      <c r="C25" s="232"/>
      <c r="D25" s="565"/>
      <c r="E25" s="565"/>
      <c r="F25" s="565"/>
      <c r="G25" s="593"/>
      <c r="H25" s="808"/>
      <c r="I25" s="593" t="s">
        <v>196</v>
      </c>
      <c r="J25" s="808"/>
      <c r="K25" s="473"/>
      <c r="U25" s="731"/>
      <c r="V25" s="814">
        <v>1</v>
      </c>
    </row>
    <row customHeight="1" ht="15.75">
      <c r="C26" s="232"/>
      <c r="D26" s="767"/>
      <c r="E26" s="2423" t="s">
        <v>187</v>
      </c>
      <c r="F26" s="2424"/>
      <c r="G26" s="2451" t="str">
        <f>IF(G25="","",INDEX(DIFFERENTIATION_UNMERGE_VD,MATCH(G25,DIFFERENTIATION_ID_DIFF,0)))</f>
        <v/>
      </c>
      <c r="H26" s="2452"/>
      <c r="I26" s="2451">
        <f>IF(I25="","",INDEX(DIFFERENTIATION_UNMERGE_VD,MATCH(I25,DIFFERENTIATION_ID_DIFF,0)))</f>
        <v>0</v>
      </c>
      <c r="J26" s="2452"/>
      <c r="K26" s="2231" t="s">
        <v>433</v>
      </c>
      <c r="V26" s="561">
        <v>15</v>
      </c>
    </row>
    <row s="2774" customFormat="1" customHeight="1" ht="15.75">
      <c r="A27" s="815"/>
      <c r="C27" s="232"/>
      <c r="D27" s="767"/>
      <c r="E27" s="2423" t="s">
        <v>697</v>
      </c>
      <c r="F27" s="2424"/>
      <c r="G27" s="2451" t="str">
        <f>IF(G25="","",INDEX(DIFFERENTIATION_UNMERGE_AREA,MATCH(G25,DIFFERENTIATION_ID_DIFF,0)))</f>
        <v/>
      </c>
      <c r="H27" s="2452"/>
      <c r="I27" s="2451" t="str">
        <f>IF(I25="","",INDEX(DIFFERENTIATION_UNMERGE_AREA,MATCH(I25,DIFFERENTIATION_ID_DIFF,0)))</f>
        <v/>
      </c>
      <c r="J27" s="2452"/>
      <c r="K27" s="2251"/>
      <c r="U27" s="731"/>
      <c r="V27" s="814">
        <v>15</v>
      </c>
    </row>
    <row s="2774" customFormat="1" customHeight="1" ht="15.75">
      <c r="A28" s="815"/>
      <c r="C28" s="232"/>
      <c r="D28" s="767"/>
      <c r="E28" s="2423" t="s">
        <v>698</v>
      </c>
      <c r="F28" s="2424"/>
      <c r="G28" s="2451" t="str">
        <f>IF(G25="","",INDEX(DIFFERENTIATION_UNMERGE_SYSTEM,MATCH(G25,DIFFERENTIATION_ID_DIFF,0)))</f>
        <v/>
      </c>
      <c r="H28" s="2452"/>
      <c r="I28" s="2451" t="str">
        <f>IF(I25="","",INDEX(DIFFERENTIATION_UNMERGE_SYSTEM,MATCH(I25,DIFFERENTIATION_ID_DIFF,0)))</f>
        <v>без дифференциации</v>
      </c>
      <c r="J28" s="2452"/>
      <c r="K28" s="2251"/>
      <c r="U28" s="731"/>
      <c r="V28" s="814">
        <v>15</v>
      </c>
    </row>
    <row s="2774" customFormat="1" customHeight="1" ht="15.75">
      <c r="A29" s="815"/>
      <c r="C29" s="232"/>
      <c r="D29" s="2425" t="s">
        <v>432</v>
      </c>
      <c r="E29" s="2426"/>
      <c r="F29" s="2426"/>
      <c r="G29" s="943"/>
      <c r="H29" s="943"/>
      <c r="I29" s="943"/>
      <c r="J29" s="944"/>
      <c r="K29" s="2251"/>
      <c r="U29" s="731"/>
      <c r="V29" s="814">
        <v>15</v>
      </c>
    </row>
    <row customHeight="1" ht="35.699999999999996">
      <c r="C30" s="232"/>
      <c r="D30" s="817" t="s">
        <v>92</v>
      </c>
      <c r="E30" s="816" t="s">
        <v>434</v>
      </c>
      <c r="F30" s="816" t="s">
        <v>699</v>
      </c>
      <c r="G30" s="864" t="s">
        <v>435</v>
      </c>
      <c r="H30" s="863" t="s">
        <v>522</v>
      </c>
      <c r="I30" s="740" t="s">
        <v>435</v>
      </c>
      <c r="J30" s="521" t="s">
        <v>522</v>
      </c>
      <c r="K30" s="2257"/>
      <c r="V30" s="561">
        <v>34</v>
      </c>
    </row>
    <row customHeight="1" ht="15" hidden="1">
      <c r="C31" s="232"/>
      <c r="D31" s="649"/>
      <c r="E31" s="649"/>
      <c r="F31" s="649"/>
      <c r="G31" s="715"/>
      <c r="H31" s="715"/>
      <c r="I31" s="715"/>
      <c r="J31" s="715"/>
      <c r="K31" s="345"/>
      <c r="V31" s="561">
        <v>0</v>
      </c>
    </row>
    <row customHeight="1" ht="24">
      <c r="A32" s="561"/>
      <c r="B32" s="561" t="s">
        <v>1083</v>
      </c>
      <c r="C32" s="582"/>
      <c r="D32" s="748">
        <v>1</v>
      </c>
      <c r="E32" s="749" t="s">
        <v>1084</v>
      </c>
      <c r="F32" s="747" t="s">
        <v>438</v>
      </c>
      <c r="G32" s="869" t="s">
        <v>438</v>
      </c>
      <c r="H32" s="869" t="s">
        <v>438</v>
      </c>
      <c r="I32" s="747" t="s">
        <v>438</v>
      </c>
      <c r="J32" s="747" t="s">
        <v>438</v>
      </c>
      <c r="K32" s="345"/>
      <c r="V32" s="561">
        <v>23</v>
      </c>
    </row>
    <row customHeight="1" ht="11.549999999999999">
      <c r="A33" s="561"/>
      <c r="C33" s="561"/>
      <c r="D33" s="403"/>
      <c r="E33" s="636" t="s">
        <v>719</v>
      </c>
      <c r="F33" s="628"/>
      <c r="G33" s="628"/>
      <c r="H33" s="628"/>
      <c r="I33" s="628"/>
      <c r="J33" s="628"/>
      <c r="K33" s="629"/>
      <c r="U33" s="561"/>
      <c r="V33" s="561">
        <v>11</v>
      </c>
    </row>
    <row customHeight="1" ht="24">
      <c r="A34" s="561"/>
      <c r="B34" s="637" t="s">
        <v>769</v>
      </c>
      <c r="C34" s="582"/>
      <c r="D34" s="748">
        <v>2</v>
      </c>
      <c r="E34" s="749" t="s">
        <v>1085</v>
      </c>
      <c r="F34" s="876" t="s">
        <v>438</v>
      </c>
      <c r="G34" s="876" t="s">
        <v>438</v>
      </c>
      <c r="H34" s="876" t="s">
        <v>438</v>
      </c>
      <c r="I34" s="747"/>
      <c r="J34" s="747"/>
      <c r="K34" s="345"/>
      <c r="V34" s="561">
        <v>23</v>
      </c>
    </row>
    <row customHeight="1" ht="11.549999999999999">
      <c r="A35" s="561"/>
      <c r="C35" s="561"/>
      <c r="D35" s="403"/>
      <c r="E35" s="636" t="s">
        <v>1086</v>
      </c>
      <c r="F35" s="628"/>
      <c r="G35" s="750"/>
      <c r="H35" s="628"/>
      <c r="I35" s="750"/>
      <c r="J35" s="628"/>
      <c r="K35" s="629"/>
      <c r="U35" s="561"/>
      <c r="V35" s="561">
        <v>11</v>
      </c>
    </row>
    <row customHeight="1" ht="71.25">
      <c r="A36" s="561"/>
      <c r="B36" s="561" t="s">
        <v>1087</v>
      </c>
      <c r="C36" s="582"/>
      <c r="D36" s="748">
        <v>3</v>
      </c>
      <c r="E36" s="749" t="s">
        <v>1088</v>
      </c>
      <c r="F36" s="751" t="s">
        <v>438</v>
      </c>
      <c r="G36" s="870" t="s">
        <v>1089</v>
      </c>
      <c r="H36" s="869" t="s">
        <v>438</v>
      </c>
      <c r="I36" s="580" t="s">
        <v>1089</v>
      </c>
      <c r="J36" s="747" t="s">
        <v>438</v>
      </c>
      <c r="K36" s="345" t="s">
        <v>1090</v>
      </c>
      <c r="V36" s="561">
        <v>68</v>
      </c>
    </row>
    <row customHeight="1" ht="11.549999999999999">
      <c r="A37" s="561"/>
      <c r="C37" s="561"/>
      <c r="D37" s="403"/>
      <c r="E37" s="636" t="s">
        <v>1091</v>
      </c>
      <c r="F37" s="628"/>
      <c r="G37" s="750"/>
      <c r="H37" s="750"/>
      <c r="I37" s="750"/>
      <c r="J37" s="750"/>
      <c r="K37" s="629"/>
      <c r="U37" s="561"/>
      <c r="V37" s="561">
        <v>11</v>
      </c>
    </row>
    <row customHeight="1" ht="71.25">
      <c r="A38" s="561"/>
      <c r="B38" s="561" t="s">
        <v>1092</v>
      </c>
      <c r="C38" s="582"/>
      <c r="D38" s="748">
        <v>4</v>
      </c>
      <c r="E38" s="749" t="s">
        <v>1093</v>
      </c>
      <c r="F38" s="751" t="s">
        <v>438</v>
      </c>
      <c r="G38" s="870" t="s">
        <v>1089</v>
      </c>
      <c r="H38" s="871" t="s">
        <v>438</v>
      </c>
      <c r="I38" s="580" t="s">
        <v>1089</v>
      </c>
      <c r="J38" s="577" t="s">
        <v>438</v>
      </c>
      <c r="K38" s="735" t="s">
        <v>1094</v>
      </c>
      <c r="V38" s="561">
        <v>68</v>
      </c>
    </row>
    <row customHeight="1" ht="11.549999999999999">
      <c r="A39" s="561"/>
      <c r="C39" s="561"/>
      <c r="D39" s="403"/>
      <c r="E39" s="636" t="s">
        <v>1095</v>
      </c>
      <c r="F39" s="628"/>
      <c r="G39" s="628"/>
      <c r="H39" s="752"/>
      <c r="I39" s="628"/>
      <c r="J39" s="752"/>
      <c r="K39" s="629"/>
      <c r="U39" s="561"/>
      <c r="V39" s="561">
        <v>11</v>
      </c>
    </row>
    <row customHeight="1" ht="22.5" hidden="1">
      <c r="A40" s="505" t="s">
        <v>86</v>
      </c>
      <c r="B40" s="561">
        <v>0</v>
      </c>
      <c r="C40" s="739">
        <v>4</v>
      </c>
      <c r="D40" s="561">
        <v>6</v>
      </c>
      <c r="E40" s="561">
        <v>36</v>
      </c>
      <c r="F40" s="561">
        <v>9</v>
      </c>
      <c r="G40" s="814">
        <v>0</v>
      </c>
      <c r="H40" s="814">
        <v>0</v>
      </c>
      <c r="I40" s="561">
        <v>25</v>
      </c>
      <c r="J40" s="561">
        <v>33</v>
      </c>
      <c r="K40" s="473">
        <v>93</v>
      </c>
      <c r="L40" s="561">
        <v>10</v>
      </c>
      <c r="M40" s="561">
        <v>10</v>
      </c>
      <c r="N40" s="561">
        <v>10</v>
      </c>
      <c r="O40" s="561">
        <v>10</v>
      </c>
      <c r="P40" s="561">
        <v>10</v>
      </c>
      <c r="Q40" s="561">
        <v>10</v>
      </c>
      <c r="R40" s="561">
        <v>10</v>
      </c>
      <c r="S40" s="561">
        <v>10</v>
      </c>
      <c r="T40" s="561">
        <v>10</v>
      </c>
      <c r="U40" s="731">
        <v>10</v>
      </c>
      <c r="V40" s="561">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AE6C54-B4CC-8CC3-B9E1-AA8240132692}" mc:Ignorable="x14ac xr xr2 xr3">
  <sheetPr>
    <tabColor theme="9" tint="-0.25"/>
  </sheetPr>
  <dimension ref="A1:AE16"/>
  <sheetViews>
    <sheetView topLeftCell="A1" showGridLines="0" zoomScale="85" workbookViewId="0">
      <selection activeCell="A1" sqref="A1"/>
    </sheetView>
  </sheetViews>
  <sheetFormatPr defaultColWidth="9.140625" customHeight="1" defaultRowHeight="10.5"/>
  <cols>
    <col min="1" max="3" style="12682" width="6.7109375" hidden="1" customWidth="1"/>
    <col min="4" max="4" style="2850" width="6.7109375" hidden="1" customWidth="1"/>
    <col min="5" max="5" style="2774" width="3.00390625" customWidth="1"/>
    <col min="6" max="6" style="2774" width="6.00390625" customWidth="1"/>
    <col min="7" max="7" style="2774" width="37.00390625" customWidth="1"/>
    <col min="8" max="8" style="2774" width="16.00390625" customWidth="1"/>
    <col min="9" max="10" style="2774" width="19.00390625" customWidth="1"/>
    <col min="11" max="11" style="2774" width="24.00390625" customWidth="1"/>
    <col min="12" max="13" style="2774" width="25.00390625" customWidth="1"/>
    <col min="14" max="16" style="2774" width="17.00390625" customWidth="1"/>
    <col min="17" max="24" style="2774" width="19.00390625" customWidth="1"/>
    <col min="25" max="25" style="2774" width="7.00390625" customWidth="1"/>
    <col min="26" max="26" style="2774" width="3.00390625" customWidth="1"/>
    <col min="27" max="27" style="2774" width="6.00390625" customWidth="1"/>
    <col min="28" max="28" style="2774" width="34.00390625" customWidth="1"/>
    <col min="29" max="30" style="2774" width="8.00390625" customWidth="1"/>
    <col min="31" max="31" style="2774" width="9.140625" hidden="1"/>
  </cols>
  <sheetData>
    <row s="2850" customFormat="1" customHeight="1" ht="10.5" hidden="1">
      <c r="A1" s="951"/>
      <c r="B1" s="951"/>
      <c r="C1" s="951"/>
      <c r="E1" s="593"/>
      <c r="H1" s="1216"/>
      <c r="AE1" s="473" t="s">
        <v>14</v>
      </c>
    </row>
    <row customHeight="1" ht="10.5" hidden="1">
      <c r="AE2" s="814">
        <v>0</v>
      </c>
    </row>
    <row s="2738" customFormat="1" customHeight="1" ht="10.5" hidden="1">
      <c r="A3" s="951"/>
      <c r="B3" s="951"/>
      <c r="C3" s="951"/>
      <c r="D3" s="473"/>
      <c r="E3" s="418"/>
      <c r="G3" s="1688" t="s">
        <v>1096</v>
      </c>
      <c r="H3" s="1212"/>
      <c r="AE3" s="815">
        <v>0</v>
      </c>
    </row>
    <row customHeight="1" ht="3">
      <c r="AE4" s="814">
        <v>3</v>
      </c>
    </row>
    <row customHeight="1" ht="27.299999999999997">
      <c r="F5" s="2304" t="str">
        <f>IP_NAME_FORM</f>
        <v>Форма 7. Информация об инвестиционных программах организации холодного водоснабжения и отчетах об их исполнении</v>
      </c>
      <c r="G5" s="2304"/>
      <c r="H5" s="2304"/>
      <c r="I5" s="2304"/>
      <c r="J5" s="2304"/>
      <c r="K5" s="2304"/>
      <c r="M5" s="638"/>
      <c r="AB5" s="962"/>
      <c r="AE5" s="814">
        <v>26</v>
      </c>
    </row>
    <row s="2774" customFormat="1" customHeight="1" ht="16.8">
      <c r="A6" s="1222"/>
      <c r="B6" s="1222"/>
      <c r="C6" s="1222"/>
      <c r="D6" s="1216"/>
      <c r="E6" s="1691"/>
      <c r="F6" s="2305" t="str">
        <f>IF(org=0,"Не определено",org)</f>
        <v>МУП ЖКХ "Родник"</v>
      </c>
      <c r="G6" s="2305"/>
      <c r="H6" s="2305"/>
      <c r="I6" s="2305"/>
      <c r="J6" s="2305"/>
      <c r="K6" s="2305"/>
      <c r="M6" s="638"/>
      <c r="AB6" s="1204"/>
      <c r="AE6" s="1687">
        <v>16</v>
      </c>
    </row>
    <row customHeight="1" ht="10.5">
      <c r="AE7" s="814">
        <v>10</v>
      </c>
    </row>
    <row customHeight="1" ht="10.5">
      <c r="A8" s="1107"/>
      <c r="B8" s="1107"/>
      <c r="C8" s="1107"/>
      <c r="F8" s="2157" t="s">
        <v>432</v>
      </c>
      <c r="G8" s="2158"/>
      <c r="H8" s="2158"/>
      <c r="I8" s="2158"/>
      <c r="J8" s="2158"/>
      <c r="K8" s="2158"/>
      <c r="L8" s="2158"/>
      <c r="M8" s="2158"/>
      <c r="N8" s="2158"/>
      <c r="O8" s="2158"/>
      <c r="P8" s="2158"/>
      <c r="Q8" s="2158"/>
      <c r="R8" s="2158"/>
      <c r="S8" s="2158"/>
      <c r="T8" s="2158"/>
      <c r="U8" s="2158"/>
      <c r="V8" s="2158"/>
      <c r="W8" s="2158"/>
      <c r="X8" s="2158"/>
      <c r="Y8" s="2158"/>
      <c r="Z8" s="2158"/>
      <c r="AA8" s="2158"/>
      <c r="AB8" s="2159"/>
      <c r="AE8" s="814">
        <v>10</v>
      </c>
    </row>
    <row customHeight="1" ht="43.050000000000004">
      <c r="A9" s="961"/>
      <c r="B9" s="961"/>
      <c r="C9" s="961"/>
      <c r="F9" s="2183" t="s">
        <v>92</v>
      </c>
      <c r="G9" s="2183" t="s">
        <v>1096</v>
      </c>
      <c r="H9" s="2231" t="s">
        <v>1097</v>
      </c>
      <c r="I9" s="2183" t="s">
        <v>1098</v>
      </c>
      <c r="J9" s="2183" t="s">
        <v>1099</v>
      </c>
      <c r="K9" s="2183" t="s">
        <v>1100</v>
      </c>
      <c r="L9" s="2183" t="s">
        <v>1101</v>
      </c>
      <c r="M9" s="2183" t="s">
        <v>1102</v>
      </c>
      <c r="N9" s="2265" t="s">
        <v>1103</v>
      </c>
      <c r="O9" s="2265"/>
      <c r="P9" s="2265"/>
      <c r="Q9" s="2455" t="s">
        <v>1104</v>
      </c>
      <c r="R9" s="2456"/>
      <c r="S9" s="2456"/>
      <c r="T9" s="2457"/>
      <c r="U9" s="2455" t="s">
        <v>1105</v>
      </c>
      <c r="V9" s="2456"/>
      <c r="W9" s="2456"/>
      <c r="X9" s="2457"/>
      <c r="Y9" s="2157" t="s">
        <v>1106</v>
      </c>
      <c r="Z9" s="2158"/>
      <c r="AA9" s="2158"/>
      <c r="AB9" s="2159"/>
      <c r="AE9" s="814">
        <v>41</v>
      </c>
    </row>
    <row customHeight="1" ht="43.050000000000004">
      <c r="A10" s="961"/>
      <c r="B10" s="961"/>
      <c r="C10" s="961"/>
      <c r="F10" s="2231"/>
      <c r="G10" s="2231"/>
      <c r="H10" s="2288"/>
      <c r="I10" s="2231"/>
      <c r="J10" s="2231"/>
      <c r="K10" s="2231"/>
      <c r="L10" s="2231"/>
      <c r="M10" s="2231"/>
      <c r="N10" s="959" t="s">
        <v>1107</v>
      </c>
      <c r="O10" s="959" t="s">
        <v>1108</v>
      </c>
      <c r="P10" s="960" t="s">
        <v>1109</v>
      </c>
      <c r="Q10" s="971" t="s">
        <v>93</v>
      </c>
      <c r="R10" s="971" t="s">
        <v>1110</v>
      </c>
      <c r="S10" s="971" t="s">
        <v>1111</v>
      </c>
      <c r="T10" s="972" t="s">
        <v>1112</v>
      </c>
      <c r="U10" s="971" t="s">
        <v>93</v>
      </c>
      <c r="V10" s="971" t="s">
        <v>1113</v>
      </c>
      <c r="W10" s="971" t="s">
        <v>1111</v>
      </c>
      <c r="X10" s="972" t="s">
        <v>1112</v>
      </c>
      <c r="Y10" s="357" t="s">
        <v>1114</v>
      </c>
      <c r="Z10" s="2157" t="s">
        <v>92</v>
      </c>
      <c r="AA10" s="2159"/>
      <c r="AB10" s="1105" t="s">
        <v>1115</v>
      </c>
      <c r="AE10" s="814">
        <v>41</v>
      </c>
    </row>
    <row s="2851" customFormat="1" customHeight="1" ht="5.25" hidden="1">
      <c r="A11" s="1108"/>
      <c r="B11" s="1108"/>
      <c r="C11" s="1108"/>
      <c r="E11" s="1106"/>
      <c r="F11" s="2462" t="s">
        <v>508</v>
      </c>
      <c r="G11" s="2459"/>
      <c r="H11" s="2458"/>
      <c r="I11" s="2458"/>
      <c r="J11" s="2458"/>
      <c r="K11" s="2460"/>
      <c r="L11" s="2460"/>
      <c r="M11" s="2460"/>
      <c r="N11" s="2458"/>
      <c r="O11" s="2458"/>
      <c r="P11" s="2183"/>
      <c r="Q11" s="2235"/>
      <c r="R11" s="2235"/>
      <c r="S11" s="2235"/>
      <c r="T11" s="2458"/>
      <c r="U11" s="2235"/>
      <c r="V11" s="2235"/>
      <c r="W11" s="2235"/>
      <c r="X11" s="2458"/>
      <c r="Y11" s="2164"/>
      <c r="Z11" s="2164"/>
      <c r="AA11" s="2164"/>
      <c r="AB11" s="2164"/>
      <c r="AD11" s="567" t="s">
        <v>1116</v>
      </c>
      <c r="AE11" s="567">
        <v>0</v>
      </c>
    </row>
    <row s="2851" customFormat="1" customHeight="1" ht="5.25" hidden="1">
      <c r="A12" s="952"/>
      <c r="B12" s="952"/>
      <c r="C12" s="952"/>
      <c r="E12" s="574"/>
      <c r="F12" s="2462"/>
      <c r="G12" s="2459"/>
      <c r="H12" s="2458"/>
      <c r="I12" s="2458"/>
      <c r="J12" s="2458"/>
      <c r="K12" s="2460"/>
      <c r="L12" s="2460"/>
      <c r="M12" s="2460"/>
      <c r="N12" s="2458"/>
      <c r="O12" s="2458"/>
      <c r="P12" s="2183"/>
      <c r="Q12" s="2235"/>
      <c r="R12" s="2235"/>
      <c r="S12" s="2235"/>
      <c r="T12" s="2458"/>
      <c r="U12" s="2235"/>
      <c r="V12" s="2235"/>
      <c r="W12" s="2235"/>
      <c r="X12" s="2458"/>
      <c r="Y12" s="2461"/>
      <c r="Z12" s="2461"/>
      <c r="AA12" s="2461"/>
      <c r="AB12" s="2461"/>
      <c r="AE12" s="567">
        <v>0</v>
      </c>
    </row>
    <row customHeight="1" ht="10.5">
      <c r="F13" s="958"/>
      <c r="G13" s="706" t="s">
        <v>1117</v>
      </c>
      <c r="H13" s="1224"/>
      <c r="I13" s="628"/>
      <c r="J13" s="628"/>
      <c r="K13" s="628"/>
      <c r="L13" s="628"/>
      <c r="M13" s="628"/>
      <c r="N13" s="628"/>
      <c r="O13" s="628"/>
      <c r="P13" s="628"/>
      <c r="Q13" s="628"/>
      <c r="R13" s="628"/>
      <c r="S13" s="628"/>
      <c r="T13" s="628"/>
      <c r="U13" s="628"/>
      <c r="V13" s="628"/>
      <c r="W13" s="628"/>
      <c r="X13" s="628"/>
      <c r="Y13" s="628"/>
      <c r="Z13" s="752"/>
      <c r="AA13" s="752"/>
      <c r="AB13" s="973"/>
      <c r="AE13" s="814">
        <v>10</v>
      </c>
    </row>
    <row customHeight="1" ht="10.5">
      <c r="AE14" s="814">
        <v>10</v>
      </c>
    </row>
    <row s="2851" customFormat="1" customHeight="1" ht="10.5">
      <c r="A15" s="1223"/>
      <c r="B15" s="1223"/>
      <c r="C15" s="1223"/>
      <c r="E15" s="574"/>
      <c r="H15" s="567">
        <f>_xlfn.IFERROR(MATCH("нет",IP_MAIN_DIFFERENTIATION_EVENTS_FLAG,0),0)</f>
        <v>0</v>
      </c>
      <c r="AE15" s="567">
        <v>10</v>
      </c>
    </row>
    <row customHeight="1" ht="10.5" hidden="1">
      <c r="A16" s="951" t="s">
        <v>86</v>
      </c>
      <c r="B16" s="951">
        <v>0</v>
      </c>
      <c r="C16" s="951">
        <v>0</v>
      </c>
      <c r="D16" s="473">
        <v>0</v>
      </c>
      <c r="E16" s="565">
        <v>3</v>
      </c>
      <c r="F16" s="814">
        <v>6</v>
      </c>
      <c r="G16" s="814">
        <v>37</v>
      </c>
      <c r="H16" s="1211">
        <v>16</v>
      </c>
      <c r="I16" s="814">
        <v>19</v>
      </c>
      <c r="J16" s="814">
        <v>19</v>
      </c>
      <c r="K16" s="814">
        <v>24</v>
      </c>
      <c r="L16" s="814">
        <v>25</v>
      </c>
      <c r="M16" s="814">
        <v>25</v>
      </c>
      <c r="N16" s="814">
        <v>17</v>
      </c>
      <c r="O16" s="814">
        <v>17</v>
      </c>
      <c r="P16" s="814">
        <v>17</v>
      </c>
      <c r="Q16" s="814">
        <v>19</v>
      </c>
      <c r="R16" s="814">
        <v>19</v>
      </c>
      <c r="S16" s="814">
        <v>19</v>
      </c>
      <c r="T16" s="814">
        <v>19</v>
      </c>
      <c r="U16" s="814">
        <v>19</v>
      </c>
      <c r="V16" s="814">
        <v>19</v>
      </c>
      <c r="W16" s="814">
        <v>19</v>
      </c>
      <c r="X16" s="814">
        <v>19</v>
      </c>
      <c r="Y16" s="814">
        <v>7</v>
      </c>
      <c r="Z16" s="814">
        <v>3</v>
      </c>
      <c r="AA16" s="814">
        <v>6</v>
      </c>
      <c r="AB16" s="814">
        <v>34</v>
      </c>
      <c r="AC16" s="814">
        <v>8</v>
      </c>
      <c r="AD16" s="814">
        <v>8</v>
      </c>
      <c r="AE16" s="814">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E0D6A8-6A59-FB0F-2C59-C618FAD0560B}" mc:Ignorable="x14ac xr xr2 xr3">
  <sheetPr>
    <tabColor theme="9" tint="-0.25"/>
  </sheetPr>
  <dimension ref="A1:BG20"/>
  <sheetViews>
    <sheetView topLeftCell="A1" showGridLines="0" zoomScale="90" workbookViewId="0">
      <selection activeCell="A1" sqref="A1"/>
    </sheetView>
  </sheetViews>
  <sheetFormatPr defaultColWidth="9.140625" customHeight="1" defaultRowHeight="10.5"/>
  <cols>
    <col min="1" max="3" style="12682" width="4.140625" hidden="1" customWidth="1"/>
    <col min="4" max="4" style="2850" width="4.140625" hidden="1" customWidth="1"/>
    <col min="5" max="5" style="2774" width="3.00390625" customWidth="1"/>
    <col min="6" max="6" style="2774" width="14.00390625" customWidth="1"/>
    <col min="7" max="7" style="2774" width="3.00390625" customWidth="1"/>
    <col min="8" max="8" style="2774" width="7.00390625" customWidth="1"/>
    <col min="9" max="10" style="2774" width="16.00390625" customWidth="1"/>
    <col min="11" max="11" style="2774" width="25.00390625" customWidth="1"/>
    <col min="12" max="12" style="2774" width="7.00390625" customWidth="1"/>
    <col min="13" max="13" style="2774" width="15.00390625" customWidth="1"/>
    <col min="14" max="14" style="2774" width="3.00390625" customWidth="1"/>
    <col min="15" max="15" style="2774" width="4.00390625" customWidth="1"/>
    <col min="16" max="16" style="2774" width="8.00390625" customWidth="1"/>
    <col min="17" max="17" style="2774" width="21.00390625" customWidth="1"/>
    <col min="18" max="18" style="2774" width="14.00390625" customWidth="1"/>
    <col min="19" max="20" style="2774" width="17.00390625" customWidth="1"/>
    <col min="21" max="21" style="2774" width="9.00390625" customWidth="1"/>
    <col min="22" max="22" style="2774" width="12.00390625" customWidth="1"/>
    <col min="23" max="23" style="2774" width="9.00390625" customWidth="1"/>
    <col min="24" max="24" style="2774" width="21.00390625" customWidth="1"/>
    <col min="25" max="25" style="2774" width="12.00390625" customWidth="1"/>
    <col min="26" max="26" style="2774" width="3.00390625" customWidth="1"/>
    <col min="27" max="27" style="2774" width="6.00390625" customWidth="1"/>
    <col min="28" max="28" style="2774" width="38.00390625" customWidth="1"/>
    <col min="29" max="29" style="2774" width="15.00390625" customWidth="1"/>
    <col min="30" max="30" style="2774" width="37.57421875" hidden="1" customWidth="1"/>
    <col min="31" max="31" style="2774" width="15.7109375" hidden="1" customWidth="1"/>
    <col min="32" max="34" style="2774" width="16.00390625" customWidth="1"/>
    <col min="35" max="37" style="2774" width="16.7109375" hidden="1" customWidth="1"/>
    <col min="38" max="58" style="2774" width="8.00390625" customWidth="1"/>
    <col min="59" max="59" style="2774" width="9.140625" hidden="1"/>
  </cols>
  <sheetData>
    <row s="2850" customFormat="1" customHeight="1" ht="10.5" hidden="1">
      <c r="A1" s="951"/>
      <c r="B1" s="951"/>
      <c r="C1" s="951"/>
      <c r="E1" s="593"/>
      <c r="H1" s="1216"/>
      <c r="L1" s="1184"/>
      <c r="M1" s="1184"/>
      <c r="AD1" s="1184"/>
      <c r="AH1" s="1203"/>
      <c r="AI1" s="1196"/>
      <c r="BG1" s="473" t="s">
        <v>14</v>
      </c>
    </row>
    <row customHeight="1" ht="10.5" hidden="1">
      <c r="BG2" s="814">
        <v>0</v>
      </c>
    </row>
    <row s="2738" customFormat="1" customHeight="1" ht="10.5" hidden="1">
      <c r="A3" s="951"/>
      <c r="B3" s="951"/>
      <c r="C3" s="951"/>
      <c r="D3" s="473"/>
      <c r="E3" s="418"/>
      <c r="H3" s="1212"/>
      <c r="L3" s="1182"/>
      <c r="M3" s="1182"/>
      <c r="AD3" s="1182"/>
      <c r="AH3" s="1201"/>
      <c r="AI3" s="1194"/>
      <c r="BG3" s="815">
        <v>0</v>
      </c>
    </row>
    <row customHeight="1" ht="3">
      <c r="BG4" s="814">
        <v>3</v>
      </c>
    </row>
    <row customHeight="1" ht="27.299999999999997">
      <c r="F5" s="2304" t="str">
        <f>IP_NAME_FORM</f>
        <v>Форма 7. Информация об инвестиционных программах организации холодного водоснабжения и отчетах об их исполнении</v>
      </c>
      <c r="G5" s="2304"/>
      <c r="H5" s="2304"/>
      <c r="I5" s="2304"/>
      <c r="J5" s="2304"/>
      <c r="K5" s="2304"/>
      <c r="L5" s="1191"/>
      <c r="M5" s="1191"/>
      <c r="AG5" s="962"/>
      <c r="AH5" s="1204"/>
      <c r="BG5" s="814">
        <v>26</v>
      </c>
    </row>
    <row customHeight="1" ht="10.5">
      <c r="F6" s="2232" t="str">
        <f>IF(org=0,"Не определено",org)</f>
        <v>МУП ЖКХ "Родник"</v>
      </c>
      <c r="G6" s="2232"/>
      <c r="H6" s="2232"/>
      <c r="I6" s="2232"/>
      <c r="J6" s="2232"/>
      <c r="K6" s="2232"/>
      <c r="L6" s="1192"/>
      <c r="M6" s="1192"/>
      <c r="BG6" s="814">
        <v>10</v>
      </c>
    </row>
    <row customHeight="1" ht="11.549999999999999">
      <c r="E7" s="964"/>
      <c r="F7" s="975"/>
      <c r="G7" s="975"/>
      <c r="H7" s="1240"/>
      <c r="I7" s="975"/>
      <c r="J7" s="975"/>
      <c r="K7" s="977"/>
      <c r="L7" s="1189"/>
      <c r="M7" s="1189"/>
      <c r="N7" s="975"/>
      <c r="O7" s="975"/>
      <c r="P7" s="975"/>
      <c r="Q7" s="977"/>
      <c r="R7" s="975"/>
      <c r="S7" s="975"/>
      <c r="T7" s="975"/>
      <c r="U7" s="975"/>
      <c r="V7" s="975"/>
      <c r="W7" s="975"/>
      <c r="X7" s="975"/>
      <c r="Y7" s="975"/>
      <c r="Z7" s="975"/>
      <c r="AA7" s="975"/>
      <c r="AB7" s="975"/>
      <c r="AC7" s="976"/>
      <c r="AD7" s="1188"/>
      <c r="AE7" s="976"/>
      <c r="AF7" s="975"/>
      <c r="AG7" s="975"/>
      <c r="AH7" s="1206"/>
      <c r="AI7" s="1199"/>
      <c r="AJ7" s="975"/>
      <c r="AK7" s="975"/>
      <c r="AL7" s="966"/>
      <c r="AM7" s="966"/>
      <c r="AN7" s="966"/>
      <c r="AO7" s="963"/>
      <c r="AP7" s="963"/>
      <c r="AQ7" s="963"/>
      <c r="AR7" s="963"/>
      <c r="AS7" s="963"/>
      <c r="AT7" s="963"/>
      <c r="AU7" s="963"/>
      <c r="AV7" s="963"/>
      <c r="AW7" s="963"/>
      <c r="AX7" s="963"/>
      <c r="AY7" s="963"/>
      <c r="AZ7" s="963"/>
      <c r="BA7" s="963"/>
      <c r="BB7" s="963"/>
      <c r="BC7" s="963"/>
      <c r="BD7" s="963"/>
      <c r="BE7" s="963"/>
      <c r="BF7" s="963"/>
      <c r="BG7" s="814">
        <v>11</v>
      </c>
    </row>
    <row customHeight="1" ht="10.5">
      <c r="E8" s="964"/>
      <c r="F8" s="2471" t="s">
        <v>432</v>
      </c>
      <c r="G8" s="2472"/>
      <c r="H8" s="2472"/>
      <c r="I8" s="2472"/>
      <c r="J8" s="2472"/>
      <c r="K8" s="2472"/>
      <c r="L8" s="2472"/>
      <c r="M8" s="2472"/>
      <c r="N8" s="2472"/>
      <c r="O8" s="2472"/>
      <c r="P8" s="2472"/>
      <c r="Q8" s="2472"/>
      <c r="R8" s="2472"/>
      <c r="S8" s="2472"/>
      <c r="T8" s="2472"/>
      <c r="U8" s="2472"/>
      <c r="V8" s="2472"/>
      <c r="W8" s="2472"/>
      <c r="X8" s="2472"/>
      <c r="Y8" s="2472"/>
      <c r="Z8" s="2472"/>
      <c r="AA8" s="2472"/>
      <c r="AB8" s="2472"/>
      <c r="AC8" s="2472"/>
      <c r="AD8" s="2472"/>
      <c r="AE8" s="2472"/>
      <c r="AF8" s="2472"/>
      <c r="AG8" s="2472"/>
      <c r="AH8" s="2472"/>
      <c r="AI8" s="2472"/>
      <c r="AJ8" s="2472"/>
      <c r="AK8" s="2473"/>
      <c r="AL8" s="965"/>
      <c r="AM8" s="963"/>
      <c r="AN8" s="963"/>
      <c r="AO8" s="963"/>
      <c r="AP8" s="963"/>
      <c r="AQ8" s="963"/>
      <c r="AR8" s="963"/>
      <c r="AS8" s="963"/>
      <c r="AT8" s="963"/>
      <c r="AU8" s="963"/>
      <c r="AV8" s="963"/>
      <c r="AW8" s="963"/>
      <c r="AX8" s="963"/>
      <c r="AY8" s="963"/>
      <c r="AZ8" s="963"/>
      <c r="BA8" s="963"/>
      <c r="BB8" s="963"/>
      <c r="BC8" s="963"/>
      <c r="BD8" s="963"/>
      <c r="BE8" s="963"/>
      <c r="BF8" s="963"/>
      <c r="BG8" s="814">
        <v>10</v>
      </c>
    </row>
    <row customHeight="1" ht="24">
      <c r="A9" s="961"/>
      <c r="B9" s="961"/>
      <c r="C9" s="961"/>
      <c r="E9" s="964"/>
      <c r="F9" s="2464" t="s">
        <v>1118</v>
      </c>
      <c r="G9" s="2465" t="s">
        <v>1119</v>
      </c>
      <c r="H9" s="2466"/>
      <c r="I9" s="2183" t="s">
        <v>1120</v>
      </c>
      <c r="J9" s="2183"/>
      <c r="K9" s="2183" t="s">
        <v>1121</v>
      </c>
      <c r="L9" s="2183"/>
      <c r="M9" s="2183"/>
      <c r="N9" s="2183"/>
      <c r="O9" s="2183"/>
      <c r="P9" s="2183"/>
      <c r="Q9" s="2183"/>
      <c r="R9" s="2183"/>
      <c r="S9" s="2183"/>
      <c r="T9" s="2183"/>
      <c r="U9" s="2183"/>
      <c r="V9" s="2183"/>
      <c r="W9" s="2183"/>
      <c r="X9" s="2183"/>
      <c r="Y9" s="2183"/>
      <c r="Z9" s="2248" t="s">
        <v>1122</v>
      </c>
      <c r="AA9" s="2249"/>
      <c r="AB9" s="2183" t="s">
        <v>1123</v>
      </c>
      <c r="AC9" s="2183"/>
      <c r="AD9" s="2183"/>
      <c r="AE9" s="2183"/>
      <c r="AF9" s="2231" t="s">
        <v>1124</v>
      </c>
      <c r="AG9" s="2183" t="s">
        <v>1125</v>
      </c>
      <c r="AH9" s="2183"/>
      <c r="AI9" s="2231" t="s">
        <v>1126</v>
      </c>
      <c r="AJ9" s="2183" t="s">
        <v>1127</v>
      </c>
      <c r="AK9" s="2183"/>
      <c r="AL9" s="1198"/>
      <c r="AM9" s="963"/>
      <c r="AN9" s="963"/>
      <c r="AO9" s="963"/>
      <c r="AP9" s="963"/>
      <c r="AQ9" s="963"/>
      <c r="AR9" s="963"/>
      <c r="AS9" s="963"/>
      <c r="AT9" s="963"/>
      <c r="AU9" s="963"/>
      <c r="AV9" s="963"/>
      <c r="AW9" s="963"/>
      <c r="AX9" s="963"/>
      <c r="AY9" s="963"/>
      <c r="AZ9" s="963"/>
      <c r="BA9" s="963"/>
      <c r="BB9" s="963"/>
      <c r="BC9" s="963"/>
      <c r="BD9" s="963"/>
      <c r="BE9" s="963"/>
      <c r="BF9" s="963"/>
      <c r="BG9" s="814">
        <v>23</v>
      </c>
    </row>
    <row customHeight="1" ht="25.2">
      <c r="A10" s="961"/>
      <c r="B10" s="961"/>
      <c r="C10" s="961"/>
      <c r="E10" s="968"/>
      <c r="F10" s="2464"/>
      <c r="G10" s="2467"/>
      <c r="H10" s="2468"/>
      <c r="I10" s="2183"/>
      <c r="J10" s="2183"/>
      <c r="K10" s="2183" t="s">
        <v>1128</v>
      </c>
      <c r="L10" s="2157" t="s">
        <v>1129</v>
      </c>
      <c r="M10" s="2159"/>
      <c r="N10" s="2183" t="s">
        <v>1130</v>
      </c>
      <c r="O10" s="2183"/>
      <c r="P10" s="2183"/>
      <c r="Q10" s="2183"/>
      <c r="R10" s="2183"/>
      <c r="S10" s="2183"/>
      <c r="T10" s="2183"/>
      <c r="U10" s="2183"/>
      <c r="V10" s="2183"/>
      <c r="W10" s="2183"/>
      <c r="X10" s="2183"/>
      <c r="Y10" s="2183"/>
      <c r="Z10" s="2250"/>
      <c r="AA10" s="2251"/>
      <c r="AB10" s="2183"/>
      <c r="AC10" s="2183"/>
      <c r="AD10" s="2183"/>
      <c r="AE10" s="2183"/>
      <c r="AF10" s="2255"/>
      <c r="AG10" s="2183"/>
      <c r="AH10" s="2183"/>
      <c r="AI10" s="2255"/>
      <c r="AJ10" s="2183"/>
      <c r="AK10" s="2183"/>
      <c r="AL10" s="1198"/>
      <c r="AM10" s="969"/>
      <c r="AN10" s="969"/>
      <c r="AO10" s="969"/>
      <c r="AP10" s="969"/>
      <c r="AQ10" s="969"/>
      <c r="AR10" s="969"/>
      <c r="AS10" s="969"/>
      <c r="AT10" s="969"/>
      <c r="AU10" s="969"/>
      <c r="AV10" s="969"/>
      <c r="AW10" s="969"/>
      <c r="AX10" s="969"/>
      <c r="AY10" s="969"/>
      <c r="AZ10" s="969"/>
      <c r="BA10" s="969"/>
      <c r="BB10" s="969"/>
      <c r="BC10" s="969"/>
      <c r="BD10" s="969"/>
      <c r="BE10" s="969"/>
      <c r="BF10" s="969"/>
      <c r="BG10" s="814">
        <v>24</v>
      </c>
    </row>
    <row s="2774" customFormat="1" customHeight="1" ht="25.2">
      <c r="A11" s="1185"/>
      <c r="B11" s="1185"/>
      <c r="C11" s="1185"/>
      <c r="D11" s="1184"/>
      <c r="E11" s="1186"/>
      <c r="F11" s="2464"/>
      <c r="G11" s="2467"/>
      <c r="H11" s="2468"/>
      <c r="I11" s="2183"/>
      <c r="J11" s="2183"/>
      <c r="K11" s="2183"/>
      <c r="L11" s="2231" t="s">
        <v>1131</v>
      </c>
      <c r="M11" s="2231" t="s">
        <v>1132</v>
      </c>
      <c r="N11" s="2183" t="s">
        <v>1133</v>
      </c>
      <c r="O11" s="2183"/>
      <c r="P11" s="2474" t="s">
        <v>1114</v>
      </c>
      <c r="Q11" s="2474" t="s">
        <v>1134</v>
      </c>
      <c r="R11" s="2474" t="s">
        <v>1135</v>
      </c>
      <c r="S11" s="2474" t="s">
        <v>1136</v>
      </c>
      <c r="T11" s="2474"/>
      <c r="U11" s="2474"/>
      <c r="V11" s="2474"/>
      <c r="W11" s="2474"/>
      <c r="X11" s="2474"/>
      <c r="Y11" s="2474"/>
      <c r="Z11" s="2250"/>
      <c r="AA11" s="2251"/>
      <c r="AB11" s="2183" t="s">
        <v>1137</v>
      </c>
      <c r="AC11" s="2183"/>
      <c r="AD11" s="2157" t="s">
        <v>1138</v>
      </c>
      <c r="AE11" s="2159"/>
      <c r="AF11" s="2255"/>
      <c r="AG11" s="2183"/>
      <c r="AH11" s="2183"/>
      <c r="AI11" s="2255"/>
      <c r="AJ11" s="2183"/>
      <c r="AK11" s="2183"/>
      <c r="AL11" s="1198"/>
      <c r="AM11" s="1183"/>
      <c r="AN11" s="1183"/>
      <c r="AO11" s="1183"/>
      <c r="AP11" s="1183"/>
      <c r="AQ11" s="1183"/>
      <c r="AR11" s="1183"/>
      <c r="AS11" s="1183"/>
      <c r="AT11" s="1183"/>
      <c r="AU11" s="1183"/>
      <c r="AV11" s="1183"/>
      <c r="AW11" s="1183"/>
      <c r="AX11" s="1183"/>
      <c r="AY11" s="1183"/>
      <c r="AZ11" s="1183"/>
      <c r="BA11" s="1183"/>
      <c r="BB11" s="1183"/>
      <c r="BC11" s="1183"/>
      <c r="BD11" s="1183"/>
      <c r="BE11" s="1183"/>
      <c r="BF11" s="1183"/>
      <c r="BG11" s="1181">
        <v>24</v>
      </c>
    </row>
    <row customHeight="1" ht="35.699999999999996">
      <c r="A12" s="961"/>
      <c r="B12" s="961"/>
      <c r="C12" s="961"/>
      <c r="E12" s="964"/>
      <c r="F12" s="2464"/>
      <c r="G12" s="2469"/>
      <c r="H12" s="2470"/>
      <c r="I12" s="1209" t="s">
        <v>93</v>
      </c>
      <c r="J12" s="1209" t="s">
        <v>1139</v>
      </c>
      <c r="K12" s="2183"/>
      <c r="L12" s="2288"/>
      <c r="M12" s="2288"/>
      <c r="N12" s="2183"/>
      <c r="O12" s="2183"/>
      <c r="P12" s="2474"/>
      <c r="Q12" s="2474"/>
      <c r="R12" s="2474"/>
      <c r="S12" s="1190" t="s">
        <v>90</v>
      </c>
      <c r="T12" s="1190" t="s">
        <v>91</v>
      </c>
      <c r="U12" s="1190" t="s">
        <v>89</v>
      </c>
      <c r="V12" s="1190" t="s">
        <v>1140</v>
      </c>
      <c r="W12" s="1190" t="s">
        <v>89</v>
      </c>
      <c r="X12" s="1190" t="s">
        <v>1141</v>
      </c>
      <c r="Y12" s="1190" t="s">
        <v>1142</v>
      </c>
      <c r="Z12" s="2256"/>
      <c r="AA12" s="2257"/>
      <c r="AB12" s="1197" t="s">
        <v>1143</v>
      </c>
      <c r="AC12" s="1197" t="s">
        <v>1144</v>
      </c>
      <c r="AD12" s="1197" t="s">
        <v>1143</v>
      </c>
      <c r="AE12" s="1197" t="s">
        <v>1144</v>
      </c>
      <c r="AF12" s="2288"/>
      <c r="AG12" s="1210" t="s">
        <v>1145</v>
      </c>
      <c r="AH12" s="1210" t="s">
        <v>1146</v>
      </c>
      <c r="AI12" s="2288"/>
      <c r="AJ12" s="1210" t="s">
        <v>1145</v>
      </c>
      <c r="AK12" s="1210" t="s">
        <v>1146</v>
      </c>
      <c r="AL12" s="1198"/>
      <c r="AM12" s="963"/>
      <c r="AN12" s="963"/>
      <c r="AO12" s="963"/>
      <c r="AP12" s="963"/>
      <c r="AQ12" s="963"/>
      <c r="AR12" s="963"/>
      <c r="AS12" s="963"/>
      <c r="AT12" s="963"/>
      <c r="AU12" s="963"/>
      <c r="AV12" s="963"/>
      <c r="AW12" s="963"/>
      <c r="AX12" s="963"/>
      <c r="AY12" s="963"/>
      <c r="AZ12" s="963"/>
      <c r="BA12" s="963"/>
      <c r="BB12" s="963"/>
      <c r="BC12" s="963"/>
      <c r="BD12" s="963"/>
      <c r="BE12" s="963"/>
      <c r="BF12" s="963"/>
      <c r="BG12" s="814">
        <v>34</v>
      </c>
    </row>
    <row customHeight="1" ht="1.05">
      <c r="E13" s="964"/>
      <c r="F13" s="1180">
        <v>0</v>
      </c>
      <c r="G13" s="1180"/>
      <c r="H13" s="1180"/>
      <c r="I13" s="1180"/>
      <c r="J13" s="1180"/>
      <c r="K13" s="1187"/>
      <c r="L13" s="1187"/>
      <c r="M13" s="1187"/>
      <c r="N13" s="1187"/>
      <c r="O13" s="1187"/>
      <c r="P13" s="1187"/>
      <c r="Q13" s="1187"/>
      <c r="R13" s="1187"/>
      <c r="S13" s="1187"/>
      <c r="T13" s="1187"/>
      <c r="U13" s="1187"/>
      <c r="V13" s="1187"/>
      <c r="W13" s="1187"/>
      <c r="X13" s="1187"/>
      <c r="Y13" s="1187"/>
      <c r="Z13" s="1187"/>
      <c r="AA13" s="1187"/>
      <c r="AB13" s="1187"/>
      <c r="AC13" s="1187"/>
      <c r="AD13" s="1187"/>
      <c r="AE13" s="1187"/>
      <c r="AF13" s="1187"/>
      <c r="AG13" s="1187"/>
      <c r="AH13" s="1205"/>
      <c r="AI13" s="1198"/>
      <c r="AJ13" s="1187"/>
      <c r="AK13" s="1187"/>
      <c r="AL13" s="965"/>
      <c r="AM13" s="963"/>
      <c r="AN13" s="963"/>
      <c r="AO13" s="963"/>
      <c r="AP13" s="963"/>
      <c r="AQ13" s="963"/>
      <c r="AR13" s="963"/>
      <c r="AS13" s="963"/>
      <c r="AT13" s="963"/>
      <c r="AU13" s="963"/>
      <c r="AV13" s="963"/>
      <c r="AW13" s="963"/>
      <c r="AX13" s="963"/>
      <c r="AY13" s="963"/>
      <c r="AZ13" s="963"/>
      <c r="BA13" s="963"/>
      <c r="BB13" s="963"/>
      <c r="BC13" s="963"/>
      <c r="BD13" s="963"/>
      <c r="BE13" s="963"/>
      <c r="BF13" s="963"/>
      <c r="BG13" s="814">
        <v>1</v>
      </c>
    </row>
    <row customHeight="1" ht="10.5">
      <c r="E14" s="963"/>
      <c r="F14" s="974"/>
      <c r="G14" s="974"/>
      <c r="H14" s="1228"/>
      <c r="I14" s="974"/>
      <c r="J14" s="974"/>
      <c r="K14" s="974"/>
      <c r="L14" s="1187"/>
      <c r="M14" s="1187"/>
      <c r="N14" s="974"/>
      <c r="O14" s="974"/>
      <c r="P14" s="974"/>
      <c r="Q14" s="974"/>
      <c r="R14" s="974"/>
      <c r="S14" s="974"/>
      <c r="T14" s="974"/>
      <c r="U14" s="974"/>
      <c r="V14" s="974"/>
      <c r="W14" s="974"/>
      <c r="X14" s="974"/>
      <c r="Y14" s="974"/>
      <c r="Z14" s="974"/>
      <c r="AA14" s="974"/>
      <c r="AB14" s="974"/>
      <c r="AC14" s="974"/>
      <c r="AD14" s="1187"/>
      <c r="AE14" s="974"/>
      <c r="AF14" s="974"/>
      <c r="AG14" s="974"/>
      <c r="AH14" s="1205"/>
      <c r="AI14" s="1198"/>
      <c r="AJ14" s="974"/>
      <c r="AK14" s="974"/>
      <c r="AL14" s="963"/>
      <c r="AM14" s="963"/>
      <c r="AN14" s="963"/>
      <c r="AO14" s="963"/>
      <c r="AP14" s="963"/>
      <c r="AQ14" s="963"/>
      <c r="AR14" s="963"/>
      <c r="AS14" s="963"/>
      <c r="AT14" s="963"/>
      <c r="AU14" s="963"/>
      <c r="AV14" s="963"/>
      <c r="AW14" s="963"/>
      <c r="AX14" s="963"/>
      <c r="AY14" s="963"/>
      <c r="AZ14" s="963"/>
      <c r="BA14" s="963"/>
      <c r="BB14" s="963"/>
      <c r="BC14" s="963"/>
      <c r="BD14" s="963"/>
      <c r="BE14" s="963"/>
      <c r="BF14" s="963"/>
      <c r="BG14" s="814">
        <v>10</v>
      </c>
    </row>
    <row customHeight="1" ht="13.5">
      <c r="E15" s="963"/>
      <c r="F15" s="970" t="s">
        <v>1147</v>
      </c>
      <c r="G15" s="970"/>
      <c r="H15" s="1227"/>
      <c r="I15" s="970"/>
      <c r="J15" s="970"/>
      <c r="K15" s="967"/>
      <c r="L15" s="1183"/>
      <c r="M15" s="1183"/>
      <c r="N15" s="969"/>
      <c r="O15" s="969"/>
      <c r="P15" s="969"/>
      <c r="Q15" s="969"/>
      <c r="R15" s="969"/>
      <c r="S15" s="969"/>
      <c r="T15" s="969"/>
      <c r="U15" s="969"/>
      <c r="V15" s="969"/>
      <c r="W15" s="969"/>
      <c r="X15" s="969"/>
      <c r="Y15" s="969"/>
      <c r="Z15" s="967"/>
      <c r="AA15" s="967"/>
      <c r="AB15" s="967"/>
      <c r="AC15" s="967"/>
      <c r="AD15" s="1183"/>
      <c r="AE15" s="967"/>
      <c r="AF15" s="967"/>
      <c r="AG15" s="967"/>
      <c r="AH15" s="1202"/>
      <c r="AI15" s="1195"/>
      <c r="AJ15" s="967"/>
      <c r="AK15" s="967"/>
      <c r="AL15" s="963"/>
      <c r="AM15" s="963"/>
      <c r="AN15" s="963"/>
      <c r="AO15" s="963"/>
      <c r="AP15" s="963"/>
      <c r="AQ15" s="963"/>
      <c r="AR15" s="963"/>
      <c r="AS15" s="963"/>
      <c r="AT15" s="963"/>
      <c r="AU15" s="963"/>
      <c r="AV15" s="963"/>
      <c r="AW15" s="963"/>
      <c r="AX15" s="963"/>
      <c r="AY15" s="963"/>
      <c r="AZ15" s="963"/>
      <c r="BA15" s="963"/>
      <c r="BB15" s="963"/>
      <c r="BC15" s="963"/>
      <c r="BD15" s="963"/>
      <c r="BE15" s="963"/>
      <c r="BF15" s="963"/>
      <c r="BG15" s="814">
        <v>13</v>
      </c>
    </row>
    <row customHeight="1" ht="10.5">
      <c r="BG16" s="814">
        <v>10</v>
      </c>
    </row>
    <row customHeight="1" ht="10.5">
      <c r="E17" s="963"/>
      <c r="F17" s="2463"/>
      <c r="G17" s="2463"/>
      <c r="H17" s="2463"/>
      <c r="I17" s="2463"/>
      <c r="J17" s="2463"/>
      <c r="K17" s="967"/>
      <c r="L17" s="1183"/>
      <c r="M17" s="1183"/>
      <c r="N17" s="969"/>
      <c r="O17" s="969"/>
      <c r="P17" s="969"/>
      <c r="Q17" s="969"/>
      <c r="R17" s="969"/>
      <c r="S17" s="969"/>
      <c r="T17" s="969"/>
      <c r="U17" s="969"/>
      <c r="V17" s="969"/>
      <c r="W17" s="969"/>
      <c r="X17" s="969"/>
      <c r="Y17" s="969"/>
      <c r="Z17" s="967"/>
      <c r="AA17" s="967"/>
      <c r="AB17" s="967"/>
      <c r="AC17" s="967"/>
      <c r="AD17" s="1183"/>
      <c r="AE17" s="967"/>
      <c r="AF17" s="967"/>
      <c r="AG17" s="967"/>
      <c r="AH17" s="1202"/>
      <c r="AI17" s="1195"/>
      <c r="AJ17" s="967"/>
      <c r="AK17" s="967"/>
      <c r="AL17" s="963"/>
      <c r="AM17" s="963"/>
      <c r="AN17" s="963"/>
      <c r="AO17" s="963"/>
      <c r="AP17" s="963"/>
      <c r="AQ17" s="963"/>
      <c r="AR17" s="963"/>
      <c r="AS17" s="963"/>
      <c r="AT17" s="963"/>
      <c r="AU17" s="963"/>
      <c r="AV17" s="963"/>
      <c r="AW17" s="963"/>
      <c r="AX17" s="963"/>
      <c r="AY17" s="963"/>
      <c r="AZ17" s="963"/>
      <c r="BA17" s="963"/>
      <c r="BB17" s="963"/>
      <c r="BC17" s="963"/>
      <c r="BD17" s="963"/>
      <c r="BE17" s="963"/>
      <c r="BF17" s="963"/>
      <c r="BG17" s="814">
        <v>10</v>
      </c>
    </row>
    <row customHeight="1" ht="10.5">
      <c r="E18" s="963"/>
      <c r="F18" s="2463"/>
      <c r="G18" s="2463"/>
      <c r="H18" s="2463"/>
      <c r="I18" s="2463"/>
      <c r="J18" s="2463"/>
      <c r="K18" s="967"/>
      <c r="L18" s="1183"/>
      <c r="M18" s="1183"/>
      <c r="N18" s="969"/>
      <c r="O18" s="969"/>
      <c r="P18" s="969"/>
      <c r="Q18" s="969"/>
      <c r="R18" s="969"/>
      <c r="S18" s="969"/>
      <c r="T18" s="969"/>
      <c r="U18" s="969"/>
      <c r="V18" s="969"/>
      <c r="W18" s="969"/>
      <c r="X18" s="969"/>
      <c r="Y18" s="969"/>
      <c r="Z18" s="967"/>
      <c r="AA18" s="967"/>
      <c r="AB18" s="967"/>
      <c r="AC18" s="967"/>
      <c r="AD18" s="1183"/>
      <c r="AE18" s="967"/>
      <c r="AF18" s="967"/>
      <c r="AG18" s="967"/>
      <c r="AH18" s="1202"/>
      <c r="AI18" s="1195"/>
      <c r="AJ18" s="967"/>
      <c r="AK18" s="967"/>
      <c r="AL18" s="963"/>
      <c r="AM18" s="963"/>
      <c r="AN18" s="963"/>
      <c r="AO18" s="963"/>
      <c r="AP18" s="963"/>
      <c r="AQ18" s="963"/>
      <c r="AR18" s="963"/>
      <c r="AS18" s="963"/>
      <c r="AT18" s="963"/>
      <c r="AU18" s="963"/>
      <c r="AV18" s="963"/>
      <c r="AW18" s="963"/>
      <c r="AX18" s="963"/>
      <c r="AY18" s="963"/>
      <c r="AZ18" s="963"/>
      <c r="BA18" s="963"/>
      <c r="BB18" s="963"/>
      <c r="BC18" s="963"/>
      <c r="BD18" s="963"/>
      <c r="BE18" s="963"/>
      <c r="BF18" s="963"/>
      <c r="BG18" s="814">
        <v>10</v>
      </c>
    </row>
    <row customHeight="1" ht="10.5">
      <c r="E19" s="963"/>
      <c r="F19" s="2463"/>
      <c r="G19" s="2463"/>
      <c r="H19" s="2463"/>
      <c r="I19" s="2463"/>
      <c r="J19" s="2463"/>
      <c r="K19" s="967"/>
      <c r="L19" s="1183"/>
      <c r="M19" s="1183"/>
      <c r="N19" s="969"/>
      <c r="O19" s="969"/>
      <c r="P19" s="969"/>
      <c r="Q19" s="969"/>
      <c r="R19" s="969"/>
      <c r="S19" s="969"/>
      <c r="T19" s="969"/>
      <c r="U19" s="969"/>
      <c r="V19" s="969"/>
      <c r="W19" s="969"/>
      <c r="X19" s="969"/>
      <c r="Y19" s="969"/>
      <c r="Z19" s="967"/>
      <c r="AA19" s="967"/>
      <c r="AB19" s="967"/>
      <c r="AC19" s="967"/>
      <c r="AD19" s="1183"/>
      <c r="AE19" s="967"/>
      <c r="AF19" s="967"/>
      <c r="AG19" s="967"/>
      <c r="AH19" s="1202"/>
      <c r="AI19" s="1195"/>
      <c r="AJ19" s="967"/>
      <c r="AK19" s="967"/>
      <c r="AL19" s="963"/>
      <c r="AM19" s="963"/>
      <c r="AN19" s="963"/>
      <c r="AO19" s="963"/>
      <c r="AP19" s="963"/>
      <c r="AQ19" s="963"/>
      <c r="AR19" s="963"/>
      <c r="AS19" s="963"/>
      <c r="AT19" s="963"/>
      <c r="AU19" s="963"/>
      <c r="AV19" s="963"/>
      <c r="AW19" s="963"/>
      <c r="AX19" s="963"/>
      <c r="AY19" s="963"/>
      <c r="AZ19" s="963"/>
      <c r="BA19" s="963"/>
      <c r="BB19" s="963"/>
      <c r="BC19" s="963"/>
      <c r="BD19" s="963"/>
      <c r="BE19" s="963"/>
      <c r="BF19" s="963"/>
      <c r="BG19" s="814">
        <v>10</v>
      </c>
    </row>
    <row customHeight="1" ht="10.5" hidden="1">
      <c r="A20" s="951" t="s">
        <v>86</v>
      </c>
      <c r="B20" s="951">
        <v>0</v>
      </c>
      <c r="C20" s="951">
        <v>0</v>
      </c>
      <c r="D20" s="473">
        <v>0</v>
      </c>
      <c r="E20" s="565">
        <v>3</v>
      </c>
      <c r="F20" s="814">
        <v>14</v>
      </c>
      <c r="G20" s="814">
        <v>3</v>
      </c>
      <c r="H20" s="1211">
        <v>7</v>
      </c>
      <c r="I20" s="814">
        <v>16</v>
      </c>
      <c r="J20" s="814">
        <v>16</v>
      </c>
      <c r="K20" s="814">
        <v>25</v>
      </c>
      <c r="L20" s="1181">
        <v>7</v>
      </c>
      <c r="M20" s="1181">
        <v>15</v>
      </c>
      <c r="N20" s="814">
        <v>3</v>
      </c>
      <c r="O20" s="814">
        <v>4</v>
      </c>
      <c r="P20" s="814">
        <v>8</v>
      </c>
      <c r="Q20" s="814">
        <v>21</v>
      </c>
      <c r="R20" s="814">
        <v>14</v>
      </c>
      <c r="S20" s="814">
        <v>17</v>
      </c>
      <c r="T20" s="814">
        <v>17</v>
      </c>
      <c r="U20" s="814">
        <v>9</v>
      </c>
      <c r="V20" s="814">
        <v>12</v>
      </c>
      <c r="W20" s="814">
        <v>9</v>
      </c>
      <c r="X20" s="814">
        <v>21</v>
      </c>
      <c r="Y20" s="814">
        <v>12</v>
      </c>
      <c r="Z20" s="814">
        <v>3</v>
      </c>
      <c r="AA20" s="814">
        <v>6</v>
      </c>
      <c r="AB20" s="814">
        <v>38</v>
      </c>
      <c r="AC20" s="814">
        <v>15</v>
      </c>
      <c r="AD20" s="1181">
        <v>0</v>
      </c>
      <c r="AE20" s="814">
        <v>0</v>
      </c>
      <c r="AF20" s="814">
        <v>16</v>
      </c>
      <c r="AG20" s="814">
        <v>16</v>
      </c>
      <c r="AH20" s="1200">
        <v>16</v>
      </c>
      <c r="AI20" s="1193">
        <v>0</v>
      </c>
      <c r="AJ20" s="814">
        <v>0</v>
      </c>
      <c r="AK20" s="814">
        <v>0</v>
      </c>
      <c r="AL20" s="814">
        <v>8</v>
      </c>
      <c r="AM20" s="814">
        <v>8</v>
      </c>
      <c r="AN20" s="814">
        <v>8</v>
      </c>
      <c r="AO20" s="814">
        <v>8</v>
      </c>
      <c r="AP20" s="814">
        <v>8</v>
      </c>
      <c r="AQ20" s="814">
        <v>8</v>
      </c>
      <c r="AR20" s="814">
        <v>8</v>
      </c>
      <c r="AS20" s="814">
        <v>8</v>
      </c>
      <c r="AT20" s="814">
        <v>8</v>
      </c>
      <c r="AU20" s="814">
        <v>8</v>
      </c>
      <c r="AV20" s="814">
        <v>8</v>
      </c>
      <c r="AW20" s="814">
        <v>8</v>
      </c>
      <c r="AX20" s="814">
        <v>8</v>
      </c>
      <c r="AY20" s="814">
        <v>8</v>
      </c>
      <c r="AZ20" s="814">
        <v>8</v>
      </c>
      <c r="BA20" s="814">
        <v>8</v>
      </c>
      <c r="BB20" s="814">
        <v>8</v>
      </c>
      <c r="BC20" s="814">
        <v>8</v>
      </c>
      <c r="BD20" s="814">
        <v>8</v>
      </c>
      <c r="BE20" s="814">
        <v>8</v>
      </c>
      <c r="BF20" s="814">
        <v>8</v>
      </c>
      <c r="BG20" s="814">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F744BE-FB53-3D1C-CC7B-BC70FCB56D97}" mc:Ignorable="x14ac xr xr2 xr3">
  <sheetPr>
    <tabColor theme="9" tint="-0.25"/>
  </sheetPr>
  <dimension ref="A1:W59"/>
  <sheetViews>
    <sheetView topLeftCell="A1" showGridLines="0" zoomScale="85" workbookViewId="0">
      <selection activeCell="A1" sqref="A1"/>
    </sheetView>
  </sheetViews>
  <sheetFormatPr defaultColWidth="9.140625" customHeight="1" defaultRowHeight="10.5"/>
  <cols>
    <col min="1" max="3" style="12682" width="4.140625" hidden="1" customWidth="1"/>
    <col min="4" max="4" style="2850" width="4.140625" hidden="1" customWidth="1"/>
    <col min="5" max="5" style="2774" width="3.00390625" customWidth="1"/>
    <col min="6" max="6" style="2774" width="6.00390625" customWidth="1"/>
    <col min="7" max="7" style="2774" width="60.00390625" customWidth="1"/>
    <col min="8" max="9" style="2774" width="21.7109375" hidden="1" customWidth="1"/>
    <col min="10" max="10" style="2774" width="0.140625" customWidth="1"/>
    <col min="11" max="11" style="2774" width="1.00390625" customWidth="1"/>
    <col min="12" max="22" style="2774" width="8.00390625" customWidth="1"/>
    <col min="23" max="23" style="2774" width="9.140625" hidden="1"/>
  </cols>
  <sheetData>
    <row s="2850" customFormat="1" customHeight="1" ht="10.5" hidden="1">
      <c r="A1" s="1222"/>
      <c r="B1" s="1222"/>
      <c r="C1" s="1222"/>
      <c r="E1" s="593"/>
      <c r="W1" s="1216" t="s">
        <v>14</v>
      </c>
    </row>
    <row customHeight="1" ht="10.5" hidden="1">
      <c r="W2" s="1211">
        <v>0</v>
      </c>
    </row>
    <row s="2738" customFormat="1" customHeight="1" ht="10.5" hidden="1">
      <c r="A3" s="1222"/>
      <c r="B3" s="1222"/>
      <c r="C3" s="1222"/>
      <c r="D3" s="1216"/>
      <c r="E3" s="418"/>
      <c r="W3" s="1212">
        <v>0</v>
      </c>
    </row>
    <row customHeight="1" ht="3">
      <c r="W4" s="1211">
        <v>3</v>
      </c>
    </row>
    <row customHeight="1" ht="27.299999999999997">
      <c r="F5" s="2304"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04"/>
      <c r="H5" s="2304"/>
      <c r="I5" s="2304"/>
      <c r="J5" s="2304"/>
      <c r="W5" s="1211">
        <v>26</v>
      </c>
    </row>
    <row customHeight="1" ht="10.5">
      <c r="F6" s="2232" t="str">
        <f>IF(org=0,"Не определено",org)</f>
        <v>МУП ЖКХ "Родник"</v>
      </c>
      <c r="G6" s="2232"/>
      <c r="H6" s="2232"/>
      <c r="I6" s="2232"/>
      <c r="J6" s="2232"/>
      <c r="W6" s="1211">
        <v>10</v>
      </c>
    </row>
    <row customHeight="1" ht="11.549999999999999">
      <c r="E7" s="1226"/>
      <c r="F7" s="1283"/>
      <c r="G7" s="1283"/>
      <c r="H7" s="1283"/>
      <c r="I7" s="1283"/>
      <c r="J7" s="1283"/>
      <c r="K7" s="1213"/>
      <c r="L7" s="1213"/>
      <c r="M7" s="1213"/>
      <c r="N7" s="1213"/>
      <c r="O7" s="1213"/>
      <c r="P7" s="1213"/>
      <c r="Q7" s="1213"/>
      <c r="R7" s="1213"/>
      <c r="S7" s="1213"/>
      <c r="T7" s="1213"/>
      <c r="U7" s="1213"/>
      <c r="V7" s="1213"/>
      <c r="W7" s="1211">
        <v>11</v>
      </c>
    </row>
    <row s="2851" customFormat="1" customHeight="1" ht="4.2">
      <c r="A8" s="1223"/>
      <c r="B8" s="1223"/>
      <c r="C8" s="1223"/>
      <c r="E8" s="1284"/>
      <c r="F8" s="1285"/>
      <c r="G8" s="1285"/>
      <c r="H8" s="1285"/>
      <c r="I8" s="1285"/>
      <c r="J8" s="1285"/>
      <c r="K8" s="1284"/>
      <c r="L8" s="1284"/>
      <c r="M8" s="1284"/>
      <c r="N8" s="1284"/>
      <c r="O8" s="1284"/>
      <c r="P8" s="1284"/>
      <c r="Q8" s="1284"/>
      <c r="R8" s="1284"/>
      <c r="S8" s="1284"/>
      <c r="T8" s="1284"/>
      <c r="U8" s="1284"/>
      <c r="V8" s="1284"/>
      <c r="W8" s="567">
        <v>4</v>
      </c>
    </row>
    <row customHeight="1" ht="10.5">
      <c r="E9" s="1226"/>
      <c r="F9" s="2475" t="s">
        <v>432</v>
      </c>
      <c r="G9" s="2476"/>
      <c r="H9" s="2476"/>
      <c r="I9" s="2476"/>
      <c r="J9" s="2476"/>
      <c r="K9" s="1296"/>
      <c r="L9" s="1213"/>
      <c r="M9" s="1213"/>
      <c r="N9" s="1213"/>
      <c r="O9" s="1213"/>
      <c r="P9" s="1213"/>
      <c r="Q9" s="1213"/>
      <c r="R9" s="1213"/>
      <c r="S9" s="1213"/>
      <c r="T9" s="1213"/>
      <c r="U9" s="1213"/>
      <c r="V9" s="1213"/>
      <c r="W9" s="1211">
        <v>10</v>
      </c>
    </row>
    <row customHeight="1" ht="25.2">
      <c r="E10" s="1213"/>
      <c r="F10" s="2479" t="s">
        <v>92</v>
      </c>
      <c r="G10" s="2484" t="s">
        <v>1148</v>
      </c>
      <c r="H10" s="2482" t="s">
        <v>1149</v>
      </c>
      <c r="I10" s="2482"/>
      <c r="J10" s="2482"/>
      <c r="K10" s="1289"/>
      <c r="L10" s="1213"/>
      <c r="M10" s="1213"/>
      <c r="N10" s="1213"/>
      <c r="O10" s="1213"/>
      <c r="P10" s="1213"/>
      <c r="Q10" s="1213"/>
      <c r="R10" s="1213"/>
      <c r="S10" s="1213"/>
      <c r="T10" s="1213"/>
      <c r="U10" s="1213"/>
      <c r="V10" s="1213"/>
      <c r="W10" s="1211">
        <v>24</v>
      </c>
    </row>
    <row customHeight="1" ht="25.5">
      <c r="E11" s="1213"/>
      <c r="F11" s="2480"/>
      <c r="G11" s="2484"/>
      <c r="H11" s="2483">
        <f>INDEX(IP_MAIN_LIST_NAME_IP,MATCH(H8,IP_MAIN_LIST_IP_ID,0))&amp;" ("&amp;INDEX(IP_MAIN_START_DATE,MATCH(H8,IP_MAIN_LIST_IP_ID,0))&amp;"-"&amp;INDEX(IP_MAIN_END_DATE,MATCH(H8,IP_MAIN_LIST_IP_ID,0))&amp;")"</f>
      </c>
      <c r="I11" s="2483"/>
      <c r="J11" s="2483"/>
      <c r="K11" s="1289"/>
      <c r="L11" s="1213"/>
      <c r="M11" s="1213"/>
      <c r="N11" s="1213"/>
      <c r="O11" s="1213"/>
      <c r="P11" s="1213"/>
      <c r="Q11" s="1213"/>
      <c r="R11" s="1213"/>
      <c r="S11" s="1213"/>
      <c r="T11" s="1213"/>
      <c r="U11" s="1213"/>
      <c r="V11" s="1213"/>
      <c r="W11" s="1211">
        <v>24</v>
      </c>
    </row>
    <row customHeight="1" ht="10.5">
      <c r="F12" s="2481"/>
      <c r="G12" s="2484"/>
      <c r="H12" s="1282" t="s">
        <v>1150</v>
      </c>
      <c r="I12" s="1288"/>
      <c r="J12" s="1282"/>
      <c r="K12" s="1290"/>
      <c r="W12" s="1211">
        <v>10</v>
      </c>
    </row>
    <row customHeight="1" ht="10.5" hidden="1">
      <c r="F13" s="1282">
        <v>1</v>
      </c>
      <c r="G13" s="1282">
        <v>2</v>
      </c>
      <c r="H13" s="1282">
        <v>3</v>
      </c>
      <c r="I13" s="1282">
        <v>4</v>
      </c>
      <c r="J13" s="1282">
        <v>5</v>
      </c>
      <c r="K13" s="1290"/>
      <c r="W13" s="1211">
        <v>0</v>
      </c>
    </row>
    <row customHeight="1" ht="11.549999999999999">
      <c r="F14" s="1281" t="s">
        <v>1151</v>
      </c>
      <c r="G14" s="2477" t="s">
        <v>1152</v>
      </c>
      <c r="H14" s="2477"/>
      <c r="I14" s="2477"/>
      <c r="J14" s="2477"/>
      <c r="K14" s="1290"/>
      <c r="W14" s="1211">
        <v>11</v>
      </c>
    </row>
    <row customHeight="1" ht="11.549999999999999">
      <c r="F15" s="1286">
        <v>1</v>
      </c>
      <c r="G15" s="746" t="s">
        <v>1153</v>
      </c>
      <c r="H15" s="1292">
        <f>SUM(I15:J15)</f>
        <v>0</v>
      </c>
      <c r="I15" s="1292">
        <f>SUM(I16:I27)</f>
        <v>0</v>
      </c>
      <c r="J15" s="1281"/>
      <c r="K15" s="1290"/>
      <c r="W15" s="1211">
        <v>11</v>
      </c>
    </row>
    <row customHeight="1" ht="24">
      <c r="F16" s="1286" t="s">
        <v>1154</v>
      </c>
      <c r="G16" s="1293" t="s">
        <v>1155</v>
      </c>
      <c r="H16" s="1292">
        <f>SUM(I16:J16)</f>
        <v>0</v>
      </c>
      <c r="I16" s="1291"/>
      <c r="J16" s="1281"/>
      <c r="K16" s="1290"/>
      <c r="W16" s="1211">
        <v>23</v>
      </c>
    </row>
    <row customHeight="1" ht="24">
      <c r="F17" s="1286" t="s">
        <v>1156</v>
      </c>
      <c r="G17" s="1293" t="s">
        <v>1157</v>
      </c>
      <c r="H17" s="1292">
        <f>SUM(I17:J17)</f>
        <v>0</v>
      </c>
      <c r="I17" s="1291"/>
      <c r="J17" s="1281"/>
      <c r="K17" s="1290"/>
      <c r="W17" s="1211">
        <v>23</v>
      </c>
    </row>
    <row customHeight="1" ht="35.699999999999996">
      <c r="F18" s="1286" t="s">
        <v>1158</v>
      </c>
      <c r="G18" s="1293" t="s">
        <v>1159</v>
      </c>
      <c r="H18" s="1292">
        <f>SUM(I18:J18)</f>
        <v>0</v>
      </c>
      <c r="I18" s="1291"/>
      <c r="J18" s="1281"/>
      <c r="K18" s="1290"/>
      <c r="W18" s="1211">
        <v>34</v>
      </c>
    </row>
    <row customHeight="1" ht="35.699999999999996">
      <c r="F19" s="1286" t="s">
        <v>1160</v>
      </c>
      <c r="G19" s="1293" t="s">
        <v>1161</v>
      </c>
      <c r="H19" s="1292">
        <f>SUM(I19:J19)</f>
        <v>0</v>
      </c>
      <c r="I19" s="1291"/>
      <c r="J19" s="1281"/>
      <c r="K19" s="1290"/>
      <c r="W19" s="1211">
        <v>34</v>
      </c>
    </row>
    <row customHeight="1" ht="48.29999999999999">
      <c r="F20" s="1286" t="s">
        <v>1162</v>
      </c>
      <c r="G20" s="1293" t="s">
        <v>1163</v>
      </c>
      <c r="H20" s="1292">
        <f>SUM(I20:J20)</f>
        <v>0</v>
      </c>
      <c r="I20" s="1291"/>
      <c r="J20" s="1281"/>
      <c r="K20" s="1290"/>
      <c r="W20" s="1211">
        <v>46</v>
      </c>
    </row>
    <row customHeight="1" ht="35.699999999999996">
      <c r="F21" s="1286" t="s">
        <v>1164</v>
      </c>
      <c r="G21" s="1293" t="s">
        <v>1165</v>
      </c>
      <c r="H21" s="1292">
        <f>SUM(I21:J21)</f>
        <v>0</v>
      </c>
      <c r="I21" s="1291"/>
      <c r="J21" s="1281"/>
      <c r="K21" s="1290"/>
      <c r="W21" s="1211">
        <v>34</v>
      </c>
    </row>
    <row customHeight="1" ht="35.699999999999996">
      <c r="F22" s="1286" t="s">
        <v>1166</v>
      </c>
      <c r="G22" s="1293" t="s">
        <v>1167</v>
      </c>
      <c r="H22" s="1292">
        <f>SUM(I22:J22)</f>
        <v>0</v>
      </c>
      <c r="I22" s="1291"/>
      <c r="J22" s="1281"/>
      <c r="K22" s="1290"/>
      <c r="W22" s="1211">
        <v>34</v>
      </c>
    </row>
    <row customHeight="1" ht="24">
      <c r="F23" s="1286" t="s">
        <v>1168</v>
      </c>
      <c r="G23" s="1293" t="s">
        <v>1169</v>
      </c>
      <c r="H23" s="1292">
        <f>SUM(I23:J23)</f>
        <v>0</v>
      </c>
      <c r="I23" s="1291"/>
      <c r="J23" s="1281"/>
      <c r="K23" s="1290"/>
      <c r="W23" s="1211">
        <v>23</v>
      </c>
    </row>
    <row customHeight="1" ht="24">
      <c r="F24" s="1286" t="s">
        <v>1170</v>
      </c>
      <c r="G24" s="1293" t="s">
        <v>1171</v>
      </c>
      <c r="H24" s="1292">
        <f>SUM(I24:J24)</f>
        <v>0</v>
      </c>
      <c r="I24" s="1291"/>
      <c r="J24" s="1281"/>
      <c r="K24" s="1290"/>
      <c r="W24" s="1211">
        <v>23</v>
      </c>
    </row>
    <row customHeight="1" ht="35.699999999999996">
      <c r="F25" s="1286" t="s">
        <v>1172</v>
      </c>
      <c r="G25" s="1293" t="s">
        <v>1173</v>
      </c>
      <c r="H25" s="1292">
        <f>SUM(I25:J25)</f>
        <v>0</v>
      </c>
      <c r="I25" s="1291"/>
      <c r="J25" s="1281"/>
      <c r="K25" s="1290"/>
      <c r="W25" s="1211">
        <v>34</v>
      </c>
    </row>
    <row customHeight="1" ht="35.699999999999996">
      <c r="F26" s="1286" t="s">
        <v>1174</v>
      </c>
      <c r="G26" s="1293" t="s">
        <v>1175</v>
      </c>
      <c r="H26" s="1292">
        <f>SUM(I26:J26)</f>
        <v>0</v>
      </c>
      <c r="I26" s="1291"/>
      <c r="J26" s="1281"/>
      <c r="K26" s="1290"/>
      <c r="W26" s="1211">
        <v>34</v>
      </c>
    </row>
    <row customHeight="1" ht="11.549999999999999">
      <c r="F27" s="1286" t="s">
        <v>1176</v>
      </c>
      <c r="G27" s="1293" t="s">
        <v>1177</v>
      </c>
      <c r="H27" s="1292">
        <f>SUM(I27:J27)</f>
        <v>0</v>
      </c>
      <c r="I27" s="1291"/>
      <c r="J27" s="1281"/>
      <c r="K27" s="1290"/>
      <c r="W27" s="1211">
        <v>11</v>
      </c>
    </row>
    <row customHeight="1" ht="11.549999999999999">
      <c r="F28" s="1286">
        <v>2</v>
      </c>
      <c r="G28" s="746" t="s">
        <v>1178</v>
      </c>
      <c r="H28" s="1292">
        <f>SUM(I28:J28)</f>
        <v>0</v>
      </c>
      <c r="I28" s="1292">
        <f>SUM(I29:I31)</f>
        <v>0</v>
      </c>
      <c r="J28" s="1281"/>
      <c r="K28" s="1290"/>
      <c r="W28" s="1211">
        <v>11</v>
      </c>
    </row>
    <row customHeight="1" ht="11.549999999999999">
      <c r="F29" s="1286" t="s">
        <v>841</v>
      </c>
      <c r="G29" s="1293" t="s">
        <v>1179</v>
      </c>
      <c r="H29" s="1292">
        <f>SUM(I29:J29)</f>
        <v>0</v>
      </c>
      <c r="I29" s="1291"/>
      <c r="J29" s="1281"/>
      <c r="K29" s="1290"/>
      <c r="W29" s="1211">
        <v>11</v>
      </c>
    </row>
    <row customHeight="1" ht="11.549999999999999">
      <c r="F30" s="1286" t="s">
        <v>439</v>
      </c>
      <c r="G30" s="1293" t="s">
        <v>1180</v>
      </c>
      <c r="H30" s="1292">
        <f>SUM(I30:J30)</f>
        <v>0</v>
      </c>
      <c r="I30" s="1291"/>
      <c r="J30" s="1281"/>
      <c r="K30" s="1290"/>
      <c r="W30" s="1211">
        <v>11</v>
      </c>
    </row>
    <row customHeight="1" ht="11.549999999999999">
      <c r="F31" s="1286" t="s">
        <v>442</v>
      </c>
      <c r="G31" s="1293" t="s">
        <v>1181</v>
      </c>
      <c r="H31" s="1292">
        <f>SUM(I31:J31)</f>
        <v>0</v>
      </c>
      <c r="I31" s="1291"/>
      <c r="J31" s="1281"/>
      <c r="K31" s="1290"/>
      <c r="W31" s="1211">
        <v>11</v>
      </c>
    </row>
    <row customHeight="1" ht="11.549999999999999">
      <c r="F32" s="1286">
        <v>3</v>
      </c>
      <c r="G32" s="746" t="s">
        <v>1182</v>
      </c>
      <c r="H32" s="1292">
        <f>SUM(I32:J32)</f>
        <v>0</v>
      </c>
      <c r="I32" s="1292">
        <f>SUM(I33:I34)</f>
        <v>0</v>
      </c>
      <c r="J32" s="1281"/>
      <c r="K32" s="1290"/>
      <c r="W32" s="1211">
        <v>11</v>
      </c>
    </row>
    <row customHeight="1" ht="48.29999999999999">
      <c r="F33" s="1286" t="s">
        <v>456</v>
      </c>
      <c r="G33" s="1293" t="s">
        <v>1183</v>
      </c>
      <c r="H33" s="1292">
        <f>SUM(I33:J33)</f>
        <v>0</v>
      </c>
      <c r="I33" s="1291"/>
      <c r="J33" s="1281"/>
      <c r="K33" s="1290"/>
      <c r="W33" s="1211">
        <v>46</v>
      </c>
    </row>
    <row customHeight="1" ht="11.549999999999999">
      <c r="F34" s="1286" t="s">
        <v>464</v>
      </c>
      <c r="G34" s="1293" t="s">
        <v>1184</v>
      </c>
      <c r="H34" s="1292">
        <f>SUM(I34:J34)</f>
        <v>0</v>
      </c>
      <c r="I34" s="1291"/>
      <c r="J34" s="1281"/>
      <c r="K34" s="1290"/>
      <c r="W34" s="1211">
        <v>11</v>
      </c>
    </row>
    <row customHeight="1" ht="11.549999999999999">
      <c r="F35" s="1286">
        <v>4</v>
      </c>
      <c r="G35" s="746" t="s">
        <v>1185</v>
      </c>
      <c r="H35" s="1292">
        <f>SUM(I35:J35)</f>
        <v>0</v>
      </c>
      <c r="I35" s="1291"/>
      <c r="J35" s="1281"/>
      <c r="K35" s="1290"/>
      <c r="W35" s="1211">
        <v>11</v>
      </c>
    </row>
    <row customHeight="1" ht="11.549999999999999">
      <c r="F36" s="1286"/>
      <c r="G36" s="749" t="s">
        <v>1186</v>
      </c>
      <c r="H36" s="1292">
        <f>SUM(I36:J36)</f>
        <v>0</v>
      </c>
      <c r="I36" s="1292">
        <f>SUM(I15,I28,I32,I35)</f>
        <v>0</v>
      </c>
      <c r="J36" s="1281"/>
      <c r="K36" s="1290"/>
      <c r="W36" s="1211">
        <v>11</v>
      </c>
    </row>
    <row customHeight="1" ht="29.25">
      <c r="F37" s="1287" t="s">
        <v>1187</v>
      </c>
      <c r="G37" s="2478" t="s">
        <v>1188</v>
      </c>
      <c r="H37" s="2478"/>
      <c r="I37" s="2478"/>
      <c r="J37" s="2478"/>
      <c r="K37" s="1290"/>
      <c r="W37" s="1211">
        <v>28</v>
      </c>
    </row>
    <row customHeight="1" ht="24">
      <c r="F38" s="1286" t="s">
        <v>191</v>
      </c>
      <c r="G38" s="746" t="s">
        <v>1189</v>
      </c>
      <c r="H38" s="1292">
        <f>SUM(I38:J38)</f>
        <v>0</v>
      </c>
      <c r="I38" s="1292">
        <f>SUM(I39,I44,I47)</f>
        <v>0</v>
      </c>
      <c r="J38" s="1281"/>
      <c r="K38" s="1290"/>
      <c r="W38" s="1211">
        <v>23</v>
      </c>
    </row>
    <row customHeight="1" ht="11.549999999999999">
      <c r="F39" s="1286" t="s">
        <v>1154</v>
      </c>
      <c r="G39" s="1293" t="s">
        <v>1153</v>
      </c>
      <c r="H39" s="1292">
        <f>SUM(I39:J39)</f>
        <v>0</v>
      </c>
      <c r="I39" s="1292">
        <f>SUM(I40:I43)</f>
        <v>0</v>
      </c>
      <c r="J39" s="1281"/>
      <c r="K39" s="1290"/>
      <c r="W39" s="1211">
        <v>11</v>
      </c>
    </row>
    <row customHeight="1" ht="24">
      <c r="F40" s="1286" t="s">
        <v>1190</v>
      </c>
      <c r="G40" s="1294" t="s">
        <v>1191</v>
      </c>
      <c r="H40" s="1292">
        <f>SUM(I40:J40)</f>
        <v>0</v>
      </c>
      <c r="I40" s="1291"/>
      <c r="J40" s="1281"/>
      <c r="K40" s="1290"/>
      <c r="W40" s="1211">
        <v>23</v>
      </c>
    </row>
    <row customHeight="1" ht="11.549999999999999">
      <c r="F41" s="1286" t="s">
        <v>1192</v>
      </c>
      <c r="G41" s="1294" t="s">
        <v>1193</v>
      </c>
      <c r="H41" s="1292">
        <f>SUM(I41:J41)</f>
        <v>0</v>
      </c>
      <c r="I41" s="1291"/>
      <c r="J41" s="1281"/>
      <c r="K41" s="1290"/>
      <c r="W41" s="1211">
        <v>11</v>
      </c>
    </row>
    <row customHeight="1" ht="11.549999999999999">
      <c r="F42" s="1286" t="s">
        <v>1194</v>
      </c>
      <c r="G42" s="1294" t="s">
        <v>1195</v>
      </c>
      <c r="H42" s="1292">
        <f>SUM(I42:J42)</f>
        <v>0</v>
      </c>
      <c r="I42" s="1291"/>
      <c r="J42" s="1281"/>
      <c r="K42" s="1290"/>
      <c r="W42" s="1211">
        <v>11</v>
      </c>
    </row>
    <row customHeight="1" ht="35.699999999999996">
      <c r="F43" s="1286" t="s">
        <v>1196</v>
      </c>
      <c r="G43" s="1294" t="s">
        <v>1197</v>
      </c>
      <c r="H43" s="1292">
        <f>SUM(I43:J43)</f>
        <v>0</v>
      </c>
      <c r="I43" s="1291"/>
      <c r="J43" s="1281"/>
      <c r="K43" s="1290"/>
      <c r="W43" s="1211">
        <v>34</v>
      </c>
    </row>
    <row customHeight="1" ht="11.549999999999999">
      <c r="F44" s="1286" t="s">
        <v>1156</v>
      </c>
      <c r="G44" s="1293" t="s">
        <v>1182</v>
      </c>
      <c r="H44" s="1292">
        <f>SUM(I44:J44)</f>
        <v>0</v>
      </c>
      <c r="I44" s="1292">
        <f>SUM(I45:I46)</f>
        <v>0</v>
      </c>
      <c r="J44" s="1281"/>
      <c r="K44" s="1290"/>
      <c r="W44" s="1211">
        <v>11</v>
      </c>
    </row>
    <row customHeight="1" ht="48.29999999999999">
      <c r="F45" s="1286" t="s">
        <v>1198</v>
      </c>
      <c r="G45" s="1294" t="s">
        <v>1183</v>
      </c>
      <c r="H45" s="1292">
        <f>SUM(I45:J45)</f>
        <v>0</v>
      </c>
      <c r="I45" s="1291"/>
      <c r="J45" s="1281"/>
      <c r="K45" s="1290"/>
      <c r="W45" s="1211">
        <v>46</v>
      </c>
    </row>
    <row customHeight="1" ht="11.549999999999999">
      <c r="F46" s="1286" t="s">
        <v>1199</v>
      </c>
      <c r="G46" s="1294" t="s">
        <v>1184</v>
      </c>
      <c r="H46" s="1292">
        <f>SUM(I46:J46)</f>
        <v>0</v>
      </c>
      <c r="I46" s="1291"/>
      <c r="J46" s="1281"/>
      <c r="K46" s="1290"/>
      <c r="W46" s="1211">
        <v>11</v>
      </c>
    </row>
    <row customHeight="1" ht="11.549999999999999">
      <c r="F47" s="1286" t="s">
        <v>1158</v>
      </c>
      <c r="G47" s="1293" t="s">
        <v>1200</v>
      </c>
      <c r="H47" s="1292">
        <f>SUM(I47:J47)</f>
        <v>0</v>
      </c>
      <c r="I47" s="1291"/>
      <c r="J47" s="1281"/>
      <c r="K47" s="1290"/>
      <c r="W47" s="1211">
        <v>11</v>
      </c>
    </row>
    <row customHeight="1" ht="24">
      <c r="F48" s="1286" t="s">
        <v>108</v>
      </c>
      <c r="G48" s="746" t="s">
        <v>1201</v>
      </c>
      <c r="H48" s="1292">
        <f>SUM(I48:J48)</f>
        <v>0</v>
      </c>
      <c r="I48" s="1292">
        <f>SUM(I49,I54,I57)</f>
        <v>0</v>
      </c>
      <c r="J48" s="1281"/>
      <c r="K48" s="1290"/>
      <c r="W48" s="1211">
        <v>23</v>
      </c>
    </row>
    <row customHeight="1" ht="11.549999999999999">
      <c r="F49" s="1286" t="s">
        <v>841</v>
      </c>
      <c r="G49" s="1293" t="s">
        <v>1153</v>
      </c>
      <c r="H49" s="1292">
        <f>SUM(I49:J49)</f>
        <v>0</v>
      </c>
      <c r="I49" s="1292">
        <f>SUM(I50:I53)</f>
        <v>0</v>
      </c>
      <c r="J49" s="1281"/>
      <c r="K49" s="1290"/>
      <c r="W49" s="1211">
        <v>11</v>
      </c>
    </row>
    <row customHeight="1" ht="24">
      <c r="F50" s="1286" t="s">
        <v>844</v>
      </c>
      <c r="G50" s="1294" t="s">
        <v>1191</v>
      </c>
      <c r="H50" s="1292">
        <f>SUM(I50:J50)</f>
        <v>0</v>
      </c>
      <c r="I50" s="1291"/>
      <c r="J50" s="1281"/>
      <c r="K50" s="1290"/>
      <c r="W50" s="1211">
        <v>23</v>
      </c>
    </row>
    <row customHeight="1" ht="11.549999999999999">
      <c r="F51" s="1286" t="s">
        <v>847</v>
      </c>
      <c r="G51" s="1294" t="s">
        <v>1193</v>
      </c>
      <c r="H51" s="1292">
        <f>SUM(I51:J51)</f>
        <v>0</v>
      </c>
      <c r="I51" s="1291"/>
      <c r="J51" s="1281"/>
      <c r="K51" s="1290"/>
      <c r="W51" s="1211">
        <v>11</v>
      </c>
    </row>
    <row customHeight="1" ht="11.549999999999999">
      <c r="F52" s="1286" t="s">
        <v>1202</v>
      </c>
      <c r="G52" s="1294" t="s">
        <v>1195</v>
      </c>
      <c r="H52" s="1292">
        <f>SUM(I52:J52)</f>
        <v>0</v>
      </c>
      <c r="I52" s="1291"/>
      <c r="J52" s="1281"/>
      <c r="K52" s="1290"/>
      <c r="W52" s="1211">
        <v>11</v>
      </c>
    </row>
    <row customHeight="1" ht="35.699999999999996">
      <c r="F53" s="1286" t="s">
        <v>1203</v>
      </c>
      <c r="G53" s="1294" t="s">
        <v>1197</v>
      </c>
      <c r="H53" s="1292">
        <f>SUM(I53:J53)</f>
        <v>0</v>
      </c>
      <c r="I53" s="1291"/>
      <c r="J53" s="1281"/>
      <c r="K53" s="1290"/>
      <c r="W53" s="1211">
        <v>34</v>
      </c>
    </row>
    <row customHeight="1" ht="11.549999999999999">
      <c r="F54" s="1286" t="s">
        <v>439</v>
      </c>
      <c r="G54" s="1293" t="s">
        <v>1182</v>
      </c>
      <c r="H54" s="1292">
        <f>SUM(I54:J54)</f>
        <v>0</v>
      </c>
      <c r="I54" s="1292">
        <f>SUM(I55:I56)</f>
        <v>0</v>
      </c>
      <c r="J54" s="1281"/>
      <c r="K54" s="1290"/>
      <c r="W54" s="1211">
        <v>11</v>
      </c>
    </row>
    <row customHeight="1" ht="48.29999999999999">
      <c r="F55" s="1286" t="s">
        <v>851</v>
      </c>
      <c r="G55" s="1294" t="s">
        <v>1183</v>
      </c>
      <c r="H55" s="1292">
        <f>SUM(I55:J55)</f>
        <v>0</v>
      </c>
      <c r="I55" s="1291"/>
      <c r="J55" s="1281"/>
      <c r="K55" s="1290"/>
      <c r="W55" s="1211">
        <v>46</v>
      </c>
    </row>
    <row customHeight="1" ht="11.549999999999999">
      <c r="F56" s="1286" t="s">
        <v>853</v>
      </c>
      <c r="G56" s="1294" t="s">
        <v>1184</v>
      </c>
      <c r="H56" s="1292">
        <f>SUM(I56:J56)</f>
        <v>0</v>
      </c>
      <c r="I56" s="1291"/>
      <c r="J56" s="1281"/>
      <c r="K56" s="1290"/>
      <c r="W56" s="1211">
        <v>11</v>
      </c>
    </row>
    <row customHeight="1" ht="11.549999999999999">
      <c r="F57" s="1286" t="s">
        <v>442</v>
      </c>
      <c r="G57" s="1293" t="s">
        <v>1200</v>
      </c>
      <c r="H57" s="1292">
        <f>SUM(I57:J57)</f>
        <v>0</v>
      </c>
      <c r="I57" s="1291"/>
      <c r="J57" s="1281"/>
      <c r="K57" s="1290"/>
      <c r="W57" s="1211">
        <v>11</v>
      </c>
    </row>
    <row customHeight="1" ht="11.549999999999999">
      <c r="F58" s="1286"/>
      <c r="G58" s="1295" t="s">
        <v>1186</v>
      </c>
      <c r="H58" s="1292">
        <f>SUM(I58:J58)</f>
        <v>0</v>
      </c>
      <c r="I58" s="1292">
        <f>SUM(I38,I48)</f>
        <v>0</v>
      </c>
      <c r="J58" s="1281"/>
      <c r="K58" s="1290"/>
      <c r="W58" s="1211">
        <v>11</v>
      </c>
    </row>
    <row customHeight="1" ht="10.5" hidden="1">
      <c r="A59" s="1222" t="s">
        <v>86</v>
      </c>
      <c r="B59" s="1222">
        <v>0</v>
      </c>
      <c r="C59" s="1222">
        <v>0</v>
      </c>
      <c r="D59" s="1216">
        <v>0</v>
      </c>
      <c r="E59" s="565">
        <v>3</v>
      </c>
      <c r="F59" s="1211">
        <v>6</v>
      </c>
      <c r="G59" s="1211">
        <v>60</v>
      </c>
      <c r="H59" s="1211">
        <v>0</v>
      </c>
      <c r="I59" s="1211">
        <v>0</v>
      </c>
      <c r="J59" s="1211">
        <v>0</v>
      </c>
      <c r="K59" s="1211">
        <v>1</v>
      </c>
      <c r="L59" s="1211">
        <v>8</v>
      </c>
      <c r="M59" s="1211">
        <v>8</v>
      </c>
      <c r="N59" s="1211">
        <v>8</v>
      </c>
      <c r="O59" s="1211">
        <v>8</v>
      </c>
      <c r="P59" s="1211">
        <v>8</v>
      </c>
      <c r="Q59" s="1211">
        <v>8</v>
      </c>
      <c r="R59" s="1211">
        <v>8</v>
      </c>
      <c r="S59" s="1211">
        <v>8</v>
      </c>
      <c r="T59" s="1211">
        <v>8</v>
      </c>
      <c r="U59" s="1211">
        <v>8</v>
      </c>
      <c r="V59" s="1211">
        <v>8</v>
      </c>
      <c r="W59" s="1211">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7C2113-B9B8-F561-B44A-BD7FD5174455}" mc:Ignorable="x14ac xr xr2 xr3">
  <sheetPr>
    <tabColor theme="9" tint="-0.25"/>
  </sheetPr>
  <dimension ref="A1:GC25"/>
  <sheetViews>
    <sheetView topLeftCell="A1" showGridLines="0" zoomScale="90" workbookViewId="0">
      <selection activeCell="A1" sqref="A1"/>
    </sheetView>
  </sheetViews>
  <sheetFormatPr defaultColWidth="9.140625" customHeight="1" defaultRowHeight="12"/>
  <cols>
    <col min="1" max="1" style="12876" width="4.7109375" hidden="1" customWidth="1"/>
    <col min="2" max="2" style="12879" width="4.7109375" hidden="1" customWidth="1"/>
    <col min="3" max="4" style="12876" width="4.7109375" hidden="1" customWidth="1"/>
    <col min="5" max="5" style="12876" width="3.00390625" customWidth="1"/>
    <col min="6" max="6" style="12876" width="6.00390625" customWidth="1"/>
    <col min="7" max="7" style="12876" width="18.00390625" customWidth="1"/>
    <col min="8" max="8" style="12876" width="27.00390625" customWidth="1"/>
    <col min="9" max="9" style="12876" width="18.00390625" customWidth="1"/>
    <col min="10" max="14" style="12876" width="0.8515625" hidden="1" customWidth="1"/>
    <col min="15" max="28" style="12876" width="21.7109375" hidden="1" customWidth="1"/>
    <col min="29" max="71" style="12876" width="0.8515625" hidden="1" customWidth="1"/>
    <col min="72" max="79" style="12876" width="21.7109375" customWidth="1"/>
    <col min="80" max="81" style="12876" width="29.140625" customWidth="1"/>
    <col min="82" max="89" style="12876" width="21.7109375" customWidth="1"/>
    <col min="90" max="102" style="12876" width="0.7109375" customWidth="1"/>
    <col min="103" max="114" style="12876" width="21.7109375" hidden="1" customWidth="1"/>
    <col min="115" max="178" style="12876" width="0.7109375" hidden="1" customWidth="1"/>
    <col min="179" max="179" style="12876" width="0.140625" customWidth="1"/>
    <col min="180" max="184" style="12876" width="8.00390625" customWidth="1"/>
    <col min="185" max="185" style="12876" width="9.140625" hidden="1"/>
  </cols>
  <sheetData>
    <row s="12811" customFormat="1" customHeight="1" ht="12" hidden="1">
      <c r="B1" s="979"/>
      <c r="C1" s="980"/>
      <c r="D1" s="980"/>
      <c r="GC1" s="978" t="s">
        <v>14</v>
      </c>
    </row>
    <row s="12811" customFormat="1" customHeight="1" ht="12" hidden="1">
      <c r="B2" s="979"/>
      <c r="C2" s="980"/>
      <c r="D2" s="980"/>
      <c r="E2" s="980"/>
      <c r="F2" s="980"/>
      <c r="G2" s="980"/>
      <c r="H2" s="980"/>
      <c r="I2" s="980"/>
      <c r="J2" s="980"/>
      <c r="K2" s="980"/>
      <c r="L2" s="980"/>
      <c r="M2" s="980"/>
      <c r="N2" s="980"/>
      <c r="O2" s="980"/>
      <c r="P2" s="980"/>
      <c r="Q2" s="980"/>
      <c r="R2" s="980"/>
      <c r="S2" s="980"/>
      <c r="T2" s="980"/>
      <c r="U2" s="980"/>
      <c r="V2" s="980"/>
      <c r="W2" s="980"/>
      <c r="X2" s="980"/>
      <c r="Y2" s="980"/>
      <c r="Z2" s="980"/>
      <c r="AA2" s="980"/>
      <c r="AB2" s="981"/>
      <c r="AC2" s="980"/>
      <c r="AD2" s="980"/>
      <c r="AE2" s="980"/>
      <c r="AF2" s="980"/>
      <c r="AG2" s="980"/>
      <c r="AH2" s="980"/>
      <c r="AI2" s="980"/>
      <c r="AJ2" s="980"/>
      <c r="AK2" s="980"/>
      <c r="AL2" s="980"/>
      <c r="AM2" s="980"/>
      <c r="AN2" s="980"/>
      <c r="AO2" s="980"/>
      <c r="AP2" s="980"/>
      <c r="AQ2" s="980"/>
      <c r="AR2" s="980"/>
      <c r="AS2" s="980"/>
      <c r="AT2" s="980"/>
      <c r="AU2" s="980"/>
      <c r="AV2" s="980"/>
      <c r="AW2" s="980"/>
      <c r="AX2" s="980"/>
      <c r="AY2" s="980"/>
      <c r="AZ2" s="980"/>
      <c r="BA2" s="980"/>
      <c r="BB2" s="980"/>
      <c r="BC2" s="980"/>
      <c r="BD2" s="980"/>
      <c r="BE2" s="980"/>
      <c r="BF2" s="980"/>
      <c r="BG2" s="980"/>
      <c r="BH2" s="980"/>
      <c r="BI2" s="980"/>
      <c r="BJ2" s="980"/>
      <c r="BK2" s="980"/>
      <c r="BL2" s="980"/>
      <c r="BM2" s="980"/>
      <c r="BN2" s="980"/>
      <c r="BO2" s="980"/>
      <c r="BP2" s="980"/>
      <c r="BQ2" s="980"/>
      <c r="BR2" s="980"/>
      <c r="BS2" s="980"/>
      <c r="BT2" s="980"/>
      <c r="BU2" s="980"/>
      <c r="BV2" s="980"/>
      <c r="BW2" s="980"/>
      <c r="BX2" s="980"/>
      <c r="BY2" s="980"/>
      <c r="BZ2" s="980"/>
      <c r="CA2" s="980"/>
      <c r="CB2" s="980"/>
      <c r="CC2" s="980"/>
      <c r="CD2" s="980"/>
      <c r="CE2" s="980"/>
      <c r="CF2" s="980"/>
      <c r="CG2" s="980"/>
      <c r="CH2" s="980"/>
      <c r="CI2" s="980"/>
      <c r="CJ2" s="980"/>
      <c r="CK2" s="980"/>
      <c r="CL2" s="980"/>
      <c r="CM2" s="980"/>
      <c r="CN2" s="980"/>
      <c r="CO2" s="980"/>
      <c r="CP2" s="980"/>
      <c r="CQ2" s="980"/>
      <c r="CR2" s="980"/>
      <c r="CS2" s="980"/>
      <c r="CT2" s="980"/>
      <c r="CU2" s="980"/>
      <c r="CV2" s="980"/>
      <c r="CW2" s="980"/>
      <c r="CX2" s="980"/>
      <c r="CY2" s="980"/>
      <c r="CZ2" s="980"/>
      <c r="DA2" s="980"/>
      <c r="DB2" s="980"/>
      <c r="DC2" s="980"/>
      <c r="DD2" s="980"/>
      <c r="DE2" s="980"/>
      <c r="DF2" s="980"/>
      <c r="DG2" s="980"/>
      <c r="DH2" s="980"/>
      <c r="DI2" s="980"/>
      <c r="DJ2" s="980"/>
      <c r="DK2" s="980"/>
      <c r="DL2" s="980"/>
      <c r="DM2" s="980"/>
      <c r="DN2" s="980"/>
      <c r="DO2" s="980"/>
      <c r="DP2" s="980"/>
      <c r="DQ2" s="980"/>
      <c r="DR2" s="980"/>
      <c r="DS2" s="980"/>
      <c r="DT2" s="980"/>
      <c r="DU2" s="980"/>
      <c r="DV2" s="980"/>
      <c r="DW2" s="980"/>
      <c r="DX2" s="980"/>
      <c r="DY2" s="980"/>
      <c r="DZ2" s="980"/>
      <c r="EA2" s="980"/>
      <c r="EB2" s="980"/>
      <c r="EC2" s="980"/>
      <c r="ED2" s="980"/>
      <c r="EE2" s="980"/>
      <c r="EF2" s="980"/>
      <c r="EG2" s="980"/>
      <c r="EH2" s="980"/>
      <c r="EI2" s="980"/>
      <c r="EJ2" s="980"/>
      <c r="EK2" s="980"/>
      <c r="EL2" s="980"/>
      <c r="EM2" s="980"/>
      <c r="EN2" s="980"/>
      <c r="EO2" s="980"/>
      <c r="EP2" s="980"/>
      <c r="EQ2" s="980"/>
      <c r="ER2" s="980"/>
      <c r="ES2" s="980"/>
      <c r="ET2" s="980"/>
      <c r="EU2" s="980"/>
      <c r="EV2" s="980"/>
      <c r="EW2" s="980"/>
      <c r="EX2" s="980"/>
      <c r="EY2" s="980"/>
      <c r="EZ2" s="980"/>
      <c r="FA2" s="980"/>
      <c r="FB2" s="980"/>
      <c r="FC2" s="980"/>
      <c r="FD2" s="980"/>
      <c r="FE2" s="980"/>
      <c r="FF2" s="980"/>
      <c r="FG2" s="980"/>
      <c r="FH2" s="980"/>
      <c r="FI2" s="980"/>
      <c r="FJ2" s="980"/>
      <c r="FK2" s="980"/>
      <c r="FL2" s="980"/>
      <c r="FM2" s="980"/>
      <c r="FN2" s="980"/>
      <c r="FO2" s="980"/>
      <c r="FP2" s="980"/>
      <c r="FQ2" s="980"/>
      <c r="FR2" s="980"/>
      <c r="FS2" s="980"/>
      <c r="FT2" s="980"/>
      <c r="FU2" s="980"/>
      <c r="FV2" s="980"/>
      <c r="FW2" s="980"/>
      <c r="GC2" s="978">
        <v>0</v>
      </c>
    </row>
    <row s="12811" customFormat="1" customHeight="1" ht="12" hidden="1">
      <c r="B3" s="979"/>
      <c r="C3" s="980"/>
      <c r="D3" s="980"/>
      <c r="E3" s="980"/>
      <c r="F3" s="980"/>
      <c r="G3" s="980"/>
      <c r="H3" s="980"/>
      <c r="I3" s="980"/>
      <c r="J3" s="980"/>
      <c r="K3" s="980"/>
      <c r="L3" s="980"/>
      <c r="M3" s="980"/>
      <c r="N3" s="980"/>
      <c r="O3" s="980"/>
      <c r="P3" s="980"/>
      <c r="Q3" s="980"/>
      <c r="R3" s="980"/>
      <c r="S3" s="980"/>
      <c r="T3" s="980"/>
      <c r="U3" s="980"/>
      <c r="V3" s="980"/>
      <c r="W3" s="980"/>
      <c r="X3" s="980"/>
      <c r="Y3" s="980"/>
      <c r="Z3" s="980"/>
      <c r="AA3" s="980"/>
      <c r="AB3" s="981"/>
      <c r="AC3" s="980"/>
      <c r="AD3" s="980"/>
      <c r="AE3" s="980"/>
      <c r="AF3" s="980"/>
      <c r="AG3" s="980"/>
      <c r="AH3" s="980"/>
      <c r="AI3" s="980"/>
      <c r="AJ3" s="980"/>
      <c r="AK3" s="980"/>
      <c r="AL3" s="980"/>
      <c r="AM3" s="980"/>
      <c r="AN3" s="980"/>
      <c r="AO3" s="980"/>
      <c r="AP3" s="980"/>
      <c r="AQ3" s="980"/>
      <c r="AR3" s="980"/>
      <c r="AS3" s="980"/>
      <c r="AT3" s="980"/>
      <c r="AU3" s="980"/>
      <c r="AV3" s="980"/>
      <c r="AW3" s="980"/>
      <c r="AX3" s="980"/>
      <c r="AY3" s="980"/>
      <c r="AZ3" s="980"/>
      <c r="BA3" s="980"/>
      <c r="BB3" s="980"/>
      <c r="BC3" s="980"/>
      <c r="BD3" s="980"/>
      <c r="BE3" s="980"/>
      <c r="BF3" s="980"/>
      <c r="BG3" s="980"/>
      <c r="BH3" s="980"/>
      <c r="BI3" s="980"/>
      <c r="BJ3" s="980"/>
      <c r="BK3" s="980"/>
      <c r="BL3" s="980"/>
      <c r="BM3" s="980"/>
      <c r="BN3" s="980"/>
      <c r="BO3" s="980"/>
      <c r="BP3" s="980"/>
      <c r="BQ3" s="980"/>
      <c r="BR3" s="980"/>
      <c r="BS3" s="980"/>
      <c r="BT3" s="980"/>
      <c r="BU3" s="980"/>
      <c r="BV3" s="980"/>
      <c r="BW3" s="980"/>
      <c r="BX3" s="980"/>
      <c r="BY3" s="980"/>
      <c r="BZ3" s="980"/>
      <c r="CA3" s="980"/>
      <c r="CB3" s="980"/>
      <c r="CC3" s="980"/>
      <c r="CD3" s="980"/>
      <c r="CE3" s="980"/>
      <c r="CF3" s="980"/>
      <c r="CG3" s="980"/>
      <c r="CH3" s="980"/>
      <c r="CI3" s="980"/>
      <c r="CJ3" s="980"/>
      <c r="CK3" s="980"/>
      <c r="CL3" s="980"/>
      <c r="CM3" s="980"/>
      <c r="CN3" s="980"/>
      <c r="CO3" s="980"/>
      <c r="CP3" s="980"/>
      <c r="CQ3" s="980"/>
      <c r="CR3" s="980"/>
      <c r="CS3" s="980"/>
      <c r="CT3" s="980"/>
      <c r="CU3" s="980"/>
      <c r="CV3" s="980"/>
      <c r="CW3" s="980"/>
      <c r="CX3" s="980"/>
      <c r="CY3" s="980"/>
      <c r="CZ3" s="980"/>
      <c r="DA3" s="980"/>
      <c r="DB3" s="980"/>
      <c r="DC3" s="980"/>
      <c r="DD3" s="980"/>
      <c r="DE3" s="980"/>
      <c r="DF3" s="980"/>
      <c r="DG3" s="980"/>
      <c r="DH3" s="980"/>
      <c r="DI3" s="980"/>
      <c r="DJ3" s="980"/>
      <c r="DK3" s="980"/>
      <c r="DL3" s="980"/>
      <c r="DM3" s="980"/>
      <c r="DN3" s="980"/>
      <c r="DO3" s="980"/>
      <c r="DP3" s="980"/>
      <c r="DQ3" s="980"/>
      <c r="DR3" s="980"/>
      <c r="DS3" s="980"/>
      <c r="DT3" s="980"/>
      <c r="DU3" s="980"/>
      <c r="DV3" s="980"/>
      <c r="DW3" s="980"/>
      <c r="DX3" s="980"/>
      <c r="DY3" s="980"/>
      <c r="DZ3" s="980"/>
      <c r="EA3" s="980"/>
      <c r="EB3" s="980"/>
      <c r="EC3" s="980"/>
      <c r="ED3" s="980"/>
      <c r="EE3" s="980"/>
      <c r="EF3" s="980"/>
      <c r="EG3" s="980"/>
      <c r="EH3" s="980"/>
      <c r="EI3" s="980"/>
      <c r="EJ3" s="980"/>
      <c r="EK3" s="980"/>
      <c r="EL3" s="980"/>
      <c r="EM3" s="980"/>
      <c r="EN3" s="980"/>
      <c r="EO3" s="980"/>
      <c r="EP3" s="980"/>
      <c r="EQ3" s="980"/>
      <c r="ER3" s="980"/>
      <c r="ES3" s="980"/>
      <c r="ET3" s="980"/>
      <c r="EU3" s="980"/>
      <c r="EV3" s="980"/>
      <c r="EW3" s="980"/>
      <c r="EX3" s="980"/>
      <c r="EY3" s="980"/>
      <c r="EZ3" s="980"/>
      <c r="FA3" s="980"/>
      <c r="FB3" s="980"/>
      <c r="FC3" s="980"/>
      <c r="FD3" s="980"/>
      <c r="FE3" s="980"/>
      <c r="FF3" s="980"/>
      <c r="FG3" s="980"/>
      <c r="FH3" s="980"/>
      <c r="FI3" s="980"/>
      <c r="FJ3" s="980"/>
      <c r="FK3" s="980"/>
      <c r="FL3" s="980"/>
      <c r="FM3" s="980"/>
      <c r="FN3" s="980"/>
      <c r="FO3" s="980"/>
      <c r="FP3" s="980"/>
      <c r="FQ3" s="980"/>
      <c r="FR3" s="980"/>
      <c r="FS3" s="980"/>
      <c r="FT3" s="980"/>
      <c r="FU3" s="980"/>
      <c r="FV3" s="980"/>
      <c r="FW3" s="980"/>
      <c r="GC3" s="978">
        <v>0</v>
      </c>
    </row>
    <row customHeight="1" ht="10.5">
      <c r="B4" s="983"/>
      <c r="C4" s="984"/>
      <c r="D4" s="984"/>
      <c r="E4" s="984"/>
      <c r="F4" s="984"/>
      <c r="G4" s="984"/>
      <c r="H4" s="985"/>
      <c r="I4" s="985"/>
      <c r="J4" s="985"/>
      <c r="K4" s="985"/>
      <c r="L4" s="985"/>
      <c r="M4" s="986"/>
      <c r="N4" s="986"/>
      <c r="O4" s="986"/>
      <c r="P4" s="986"/>
      <c r="Q4" s="986"/>
      <c r="R4" s="986"/>
      <c r="S4" s="986"/>
      <c r="T4" s="986"/>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c r="AT4" s="986"/>
      <c r="AU4" s="986"/>
      <c r="AV4" s="986"/>
      <c r="AW4" s="986"/>
      <c r="AX4" s="986"/>
      <c r="AY4" s="986"/>
      <c r="AZ4" s="986"/>
      <c r="BA4" s="986"/>
      <c r="BB4" s="986"/>
      <c r="BC4" s="986"/>
      <c r="BD4" s="986"/>
      <c r="BE4" s="986"/>
      <c r="BF4" s="986"/>
      <c r="BG4" s="986"/>
      <c r="BH4" s="986"/>
      <c r="BI4" s="986"/>
      <c r="BJ4" s="986"/>
      <c r="BK4" s="986"/>
      <c r="BL4" s="986"/>
      <c r="BM4" s="986"/>
      <c r="BN4" s="986"/>
      <c r="BO4" s="986"/>
      <c r="BP4" s="986"/>
      <c r="BQ4" s="986"/>
      <c r="BR4" s="986"/>
      <c r="BS4" s="986"/>
      <c r="BT4" s="986"/>
      <c r="BU4" s="986"/>
      <c r="BV4" s="986"/>
      <c r="BW4" s="986"/>
      <c r="BX4" s="986"/>
      <c r="BY4" s="986"/>
      <c r="BZ4" s="986"/>
      <c r="CA4" s="986"/>
      <c r="CB4" s="986"/>
      <c r="CC4" s="986"/>
      <c r="CD4" s="986"/>
      <c r="CE4" s="986"/>
      <c r="CF4" s="986"/>
      <c r="CG4" s="986"/>
      <c r="CH4" s="986"/>
      <c r="CI4" s="986"/>
      <c r="CJ4" s="986"/>
      <c r="CK4" s="986"/>
      <c r="CL4" s="986"/>
      <c r="CM4" s="986"/>
      <c r="CN4" s="986"/>
      <c r="CO4" s="986"/>
      <c r="CP4" s="986"/>
      <c r="CQ4" s="986"/>
      <c r="CR4" s="986"/>
      <c r="CS4" s="986"/>
      <c r="CT4" s="986"/>
      <c r="CU4" s="986"/>
      <c r="CV4" s="986"/>
      <c r="CW4" s="986"/>
      <c r="CX4" s="986"/>
      <c r="CY4" s="986"/>
      <c r="CZ4" s="986"/>
      <c r="DA4" s="986"/>
      <c r="DB4" s="986"/>
      <c r="DC4" s="986"/>
      <c r="DD4" s="986"/>
      <c r="DE4" s="986"/>
      <c r="DF4" s="986"/>
      <c r="DG4" s="986"/>
      <c r="DH4" s="986"/>
      <c r="DI4" s="986"/>
      <c r="DJ4" s="986"/>
      <c r="DK4" s="986"/>
      <c r="DL4" s="986"/>
      <c r="DM4" s="986"/>
      <c r="DN4" s="986"/>
      <c r="DO4" s="986"/>
      <c r="DP4" s="986"/>
      <c r="DQ4" s="986"/>
      <c r="DR4" s="986"/>
      <c r="DS4" s="986"/>
      <c r="DT4" s="986"/>
      <c r="DU4" s="986"/>
      <c r="DV4" s="986"/>
      <c r="DW4" s="986"/>
      <c r="DX4" s="986"/>
      <c r="DY4" s="986"/>
      <c r="DZ4" s="986"/>
      <c r="EA4" s="986"/>
      <c r="EB4" s="986"/>
      <c r="EC4" s="986"/>
      <c r="ED4" s="986"/>
      <c r="EE4" s="986"/>
      <c r="EF4" s="986"/>
      <c r="EG4" s="986"/>
      <c r="EH4" s="986"/>
      <c r="EI4" s="986"/>
      <c r="EJ4" s="986"/>
      <c r="EK4" s="986"/>
      <c r="EL4" s="986"/>
      <c r="EM4" s="986"/>
      <c r="EN4" s="986"/>
      <c r="EO4" s="986"/>
      <c r="EP4" s="986"/>
      <c r="EQ4" s="986"/>
      <c r="ER4" s="986"/>
      <c r="ES4" s="986"/>
      <c r="ET4" s="986"/>
      <c r="EU4" s="986"/>
      <c r="EV4" s="986"/>
      <c r="EW4" s="986"/>
      <c r="EX4" s="986"/>
      <c r="EY4" s="986"/>
      <c r="EZ4" s="986"/>
      <c r="FA4" s="986"/>
      <c r="FB4" s="986"/>
      <c r="FC4" s="986"/>
      <c r="FD4" s="986"/>
      <c r="FE4" s="986"/>
      <c r="FF4" s="986"/>
      <c r="FG4" s="986"/>
      <c r="FH4" s="986"/>
      <c r="FI4" s="986"/>
      <c r="FJ4" s="986"/>
      <c r="FK4" s="986"/>
      <c r="FL4" s="986"/>
      <c r="FM4" s="986"/>
      <c r="FN4" s="986"/>
      <c r="FO4" s="986"/>
      <c r="FP4" s="986"/>
      <c r="FQ4" s="986"/>
      <c r="FR4" s="986"/>
      <c r="FS4" s="986"/>
      <c r="FT4" s="986"/>
      <c r="FU4" s="986"/>
      <c r="FV4" s="986"/>
      <c r="FW4" s="986"/>
      <c r="GC4" s="982">
        <v>10</v>
      </c>
    </row>
    <row s="12820" customFormat="1" customHeight="1" ht="27.299999999999997">
      <c r="B5" s="1928"/>
      <c r="E5" s="1930"/>
      <c r="F5" s="2488"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25"/>
      <c r="H5" s="2225"/>
      <c r="I5" s="2225"/>
      <c r="J5" s="2225"/>
      <c r="K5" s="2225"/>
      <c r="L5" s="2225"/>
      <c r="M5" s="2225"/>
      <c r="N5" s="2225"/>
      <c r="O5" s="2225"/>
      <c r="P5" s="2225"/>
      <c r="Q5" s="2225"/>
      <c r="R5" s="2225"/>
      <c r="S5" s="2225"/>
      <c r="T5" s="2225"/>
      <c r="U5" s="2225"/>
      <c r="V5" s="2225"/>
      <c r="W5" s="2225"/>
      <c r="X5" s="2225"/>
      <c r="Y5" s="2225"/>
      <c r="Z5" s="2225"/>
      <c r="AA5" s="2225"/>
      <c r="AB5" s="2225"/>
      <c r="AC5" s="2225"/>
      <c r="AD5" s="2225"/>
      <c r="AE5" s="2225"/>
      <c r="AF5" s="2225"/>
      <c r="AG5" s="2225"/>
      <c r="AH5" s="2225"/>
      <c r="AI5" s="2225"/>
      <c r="AJ5" s="2225"/>
      <c r="AK5" s="2225"/>
      <c r="AL5" s="2225"/>
      <c r="AM5" s="2225"/>
      <c r="AN5" s="2225"/>
      <c r="AO5" s="2225"/>
      <c r="AP5" s="2225"/>
      <c r="AQ5" s="2225"/>
      <c r="AR5" s="2225"/>
      <c r="AS5" s="2225"/>
      <c r="AT5" s="2225"/>
      <c r="AU5" s="2225"/>
      <c r="AV5" s="2225"/>
      <c r="AW5" s="2225"/>
      <c r="AX5" s="2225"/>
      <c r="AY5" s="2225"/>
      <c r="AZ5" s="2225"/>
      <c r="BA5" s="2225"/>
      <c r="BB5" s="2225"/>
      <c r="BC5" s="2225"/>
      <c r="BD5" s="2225"/>
      <c r="BE5" s="2225"/>
      <c r="BF5" s="2225"/>
      <c r="BG5" s="2225"/>
      <c r="BH5" s="2225"/>
      <c r="BI5" s="2225"/>
      <c r="BJ5" s="2225"/>
      <c r="BK5" s="2225"/>
      <c r="BL5" s="2225"/>
      <c r="BM5" s="2225"/>
      <c r="BN5" s="2225"/>
      <c r="BO5" s="2225"/>
      <c r="BP5" s="2225"/>
      <c r="BQ5" s="2225"/>
      <c r="BR5" s="2225"/>
      <c r="BS5" s="2225"/>
      <c r="GC5" s="1929">
        <v>26</v>
      </c>
    </row>
    <row s="3096" customFormat="1" customHeight="1" ht="18.75">
      <c r="B6" s="999"/>
      <c r="E6" s="1001"/>
      <c r="F6" s="2270" t="str">
        <f>IF(org=0,"Не определено",org)</f>
        <v>МУП ЖКХ "Родник"</v>
      </c>
      <c r="G6" s="2271"/>
      <c r="H6" s="2271"/>
      <c r="I6" s="2271"/>
      <c r="J6" s="2271"/>
      <c r="K6" s="2271"/>
      <c r="L6" s="2271"/>
      <c r="M6" s="2271"/>
      <c r="N6" s="2271"/>
      <c r="O6" s="2271"/>
      <c r="P6" s="2271"/>
      <c r="Q6" s="2271"/>
      <c r="R6" s="2271"/>
      <c r="S6" s="2271"/>
      <c r="T6" s="2271"/>
      <c r="U6" s="2271"/>
      <c r="V6" s="2271"/>
      <c r="W6" s="2271"/>
      <c r="X6" s="2271"/>
      <c r="Y6" s="2271"/>
      <c r="Z6" s="2271"/>
      <c r="AA6" s="2271"/>
      <c r="AB6" s="2271"/>
      <c r="AC6" s="2271"/>
      <c r="AD6" s="2271"/>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c r="BP6" s="2271"/>
      <c r="BQ6" s="2271"/>
      <c r="BR6" s="2271"/>
      <c r="BS6" s="2271"/>
      <c r="GC6" s="1000">
        <v>18</v>
      </c>
    </row>
    <row s="12826" customFormat="1" customHeight="1" ht="10.5">
      <c r="B7" s="988"/>
      <c r="E7" s="989"/>
      <c r="F7" s="989"/>
      <c r="G7" s="991"/>
      <c r="H7" s="985"/>
      <c r="I7" s="985"/>
      <c r="J7" s="985"/>
      <c r="K7" s="985"/>
      <c r="L7" s="985"/>
      <c r="M7" s="989"/>
      <c r="N7" s="989"/>
      <c r="O7" s="989"/>
      <c r="P7" s="989"/>
      <c r="Q7" s="989"/>
      <c r="R7" s="989"/>
      <c r="S7" s="989"/>
      <c r="T7" s="989"/>
      <c r="U7" s="989"/>
      <c r="V7" s="989"/>
      <c r="W7" s="989"/>
      <c r="X7" s="989"/>
      <c r="Y7" s="989"/>
      <c r="Z7" s="989"/>
      <c r="AA7" s="989"/>
      <c r="AB7" s="989"/>
      <c r="AC7" s="989"/>
      <c r="AD7" s="989"/>
      <c r="AE7" s="989"/>
      <c r="AF7" s="989"/>
      <c r="AG7" s="989"/>
      <c r="AH7" s="989"/>
      <c r="AI7" s="989"/>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c r="BK7" s="989"/>
      <c r="BL7" s="989"/>
      <c r="BM7" s="989"/>
      <c r="BN7" s="989"/>
      <c r="BO7" s="989"/>
      <c r="BP7" s="989"/>
      <c r="BQ7" s="989"/>
      <c r="BR7" s="989"/>
      <c r="BS7" s="989"/>
      <c r="BT7" s="989"/>
      <c r="BU7" s="989"/>
      <c r="BV7" s="989"/>
      <c r="BW7" s="989"/>
      <c r="BX7" s="989"/>
      <c r="BY7" s="989"/>
      <c r="BZ7" s="989"/>
      <c r="CA7" s="989"/>
      <c r="CB7" s="989"/>
      <c r="CC7" s="989"/>
      <c r="CD7" s="989"/>
      <c r="CE7" s="989"/>
      <c r="CF7" s="989"/>
      <c r="CG7" s="989"/>
      <c r="CH7" s="989"/>
      <c r="CI7" s="989"/>
      <c r="CJ7" s="989"/>
      <c r="CK7" s="989"/>
      <c r="CL7" s="989"/>
      <c r="CM7" s="989"/>
      <c r="CN7" s="989"/>
      <c r="CO7" s="989"/>
      <c r="CP7" s="989"/>
      <c r="CQ7" s="989"/>
      <c r="CR7" s="989"/>
      <c r="CS7" s="989"/>
      <c r="CT7" s="989"/>
      <c r="CU7" s="989"/>
      <c r="CV7" s="989"/>
      <c r="CW7" s="989"/>
      <c r="CX7" s="989"/>
      <c r="CY7" s="989"/>
      <c r="CZ7" s="989"/>
      <c r="DA7" s="989"/>
      <c r="DB7" s="989"/>
      <c r="DC7" s="989"/>
      <c r="DD7" s="989"/>
      <c r="DE7" s="989"/>
      <c r="DF7" s="989"/>
      <c r="DG7" s="989"/>
      <c r="DH7" s="989"/>
      <c r="DI7" s="989"/>
      <c r="DJ7" s="989"/>
      <c r="DK7" s="989"/>
      <c r="DL7" s="989"/>
      <c r="DM7" s="989"/>
      <c r="DN7" s="989"/>
      <c r="DO7" s="989"/>
      <c r="DP7" s="989"/>
      <c r="DQ7" s="989"/>
      <c r="DR7" s="989"/>
      <c r="DS7" s="989"/>
      <c r="DT7" s="989"/>
      <c r="DU7" s="989"/>
      <c r="DV7" s="989"/>
      <c r="DW7" s="989"/>
      <c r="DX7" s="989"/>
      <c r="DY7" s="989"/>
      <c r="DZ7" s="989"/>
      <c r="EA7" s="989"/>
      <c r="EB7" s="989"/>
      <c r="EC7" s="989"/>
      <c r="ED7" s="989"/>
      <c r="EE7" s="989"/>
      <c r="EF7" s="989"/>
      <c r="EG7" s="989"/>
      <c r="EH7" s="989"/>
      <c r="EI7" s="989"/>
      <c r="EJ7" s="989"/>
      <c r="EK7" s="989"/>
      <c r="EL7" s="989"/>
      <c r="EM7" s="989"/>
      <c r="EN7" s="989"/>
      <c r="EO7" s="989"/>
      <c r="EP7" s="989"/>
      <c r="EQ7" s="989"/>
      <c r="ER7" s="989"/>
      <c r="ES7" s="989"/>
      <c r="ET7" s="989"/>
      <c r="EU7" s="989"/>
      <c r="EV7" s="989"/>
      <c r="EW7" s="989"/>
      <c r="EX7" s="989"/>
      <c r="EY7" s="989"/>
      <c r="EZ7" s="989"/>
      <c r="FA7" s="989"/>
      <c r="FB7" s="989"/>
      <c r="FC7" s="989"/>
      <c r="FD7" s="989"/>
      <c r="FE7" s="989"/>
      <c r="FF7" s="989"/>
      <c r="FG7" s="989"/>
      <c r="FH7" s="989"/>
      <c r="FI7" s="989"/>
      <c r="FJ7" s="989"/>
      <c r="FK7" s="989"/>
      <c r="FL7" s="989"/>
      <c r="FM7" s="989"/>
      <c r="FN7" s="989"/>
      <c r="FO7" s="989"/>
      <c r="FP7" s="989"/>
      <c r="FQ7" s="989"/>
      <c r="FR7" s="989"/>
      <c r="FS7" s="989"/>
      <c r="FT7" s="989"/>
      <c r="FU7" s="989"/>
      <c r="FV7" s="989"/>
      <c r="FW7" s="989"/>
      <c r="GC7" s="987">
        <v>10</v>
      </c>
    </row>
    <row s="12826" customFormat="1" customHeight="1" ht="11.25" hidden="1">
      <c r="B8" s="990"/>
      <c r="F8" s="1112"/>
      <c r="G8" s="819"/>
      <c r="H8" s="416"/>
      <c r="I8" s="416"/>
      <c r="J8" s="416"/>
      <c r="K8" s="416"/>
      <c r="L8" s="416"/>
      <c r="M8" s="1112"/>
      <c r="N8" s="1112"/>
      <c r="O8" s="2506" t="s">
        <v>1204</v>
      </c>
      <c r="P8" s="2507"/>
      <c r="Q8" s="2507"/>
      <c r="R8" s="2507"/>
      <c r="S8" s="2507"/>
      <c r="T8" s="2507"/>
      <c r="U8" s="2507"/>
      <c r="V8" s="2507"/>
      <c r="W8" s="2507"/>
      <c r="X8" s="2507"/>
      <c r="Y8" s="2507"/>
      <c r="Z8" s="2507"/>
      <c r="AA8" s="2507"/>
      <c r="AB8" s="2507"/>
      <c r="AC8" s="2507"/>
      <c r="AD8" s="2507"/>
      <c r="AE8" s="2507"/>
      <c r="AF8" s="2507"/>
      <c r="AG8" s="2507"/>
      <c r="AH8" s="2507"/>
      <c r="AI8" s="2507"/>
      <c r="AJ8" s="2507"/>
      <c r="AK8" s="2507"/>
      <c r="AL8" s="2507"/>
      <c r="AM8" s="2507"/>
      <c r="AN8" s="2507"/>
      <c r="AO8" s="2507"/>
      <c r="AP8" s="2507"/>
      <c r="AQ8" s="2507"/>
      <c r="AR8" s="2507"/>
      <c r="AS8" s="2507"/>
      <c r="AT8" s="2507"/>
      <c r="AU8" s="2507"/>
      <c r="AV8" s="2507"/>
      <c r="AW8" s="2507"/>
      <c r="AX8" s="2507"/>
      <c r="AY8" s="2507"/>
      <c r="AZ8" s="2507"/>
      <c r="BA8" s="2507"/>
      <c r="BB8" s="2507"/>
      <c r="BC8" s="2507"/>
      <c r="BD8" s="2507"/>
      <c r="BE8" s="2507"/>
      <c r="BF8" s="2507"/>
      <c r="BG8" s="2507"/>
      <c r="BH8" s="2507"/>
      <c r="BI8" s="2507"/>
      <c r="BJ8" s="2507"/>
      <c r="BK8" s="2507"/>
      <c r="BL8" s="2507"/>
      <c r="BM8" s="2507"/>
      <c r="BN8" s="2507"/>
      <c r="BO8" s="2507"/>
      <c r="BP8" s="2507"/>
      <c r="BQ8" s="2507"/>
      <c r="BR8" s="2507"/>
      <c r="BS8" s="2508"/>
      <c r="BT8" s="2495"/>
      <c r="BU8" s="2496"/>
      <c r="BV8" s="2496"/>
      <c r="BW8" s="2496"/>
      <c r="BX8" s="2496"/>
      <c r="BY8" s="2496"/>
      <c r="BZ8" s="2496"/>
      <c r="CA8" s="2496"/>
      <c r="CB8" s="2496"/>
      <c r="CC8" s="2496"/>
      <c r="CD8" s="2496"/>
      <c r="CE8" s="2496"/>
      <c r="CF8" s="2496"/>
      <c r="CG8" s="2496"/>
      <c r="CH8" s="2496"/>
      <c r="CI8" s="2496"/>
      <c r="CJ8" s="2496"/>
      <c r="CK8" s="2496"/>
      <c r="CL8" s="2496"/>
      <c r="CM8" s="2496"/>
      <c r="CN8" s="2496"/>
      <c r="CO8" s="2496"/>
      <c r="CP8" s="2496"/>
      <c r="CQ8" s="2496"/>
      <c r="CR8" s="2496"/>
      <c r="CS8" s="2496"/>
      <c r="CT8" s="2496"/>
      <c r="CU8" s="2496"/>
      <c r="CV8" s="2496"/>
      <c r="CW8" s="2496"/>
      <c r="CX8" s="2497"/>
      <c r="CY8" s="2498"/>
      <c r="CZ8" s="2499"/>
      <c r="DA8" s="2499"/>
      <c r="DB8" s="2499"/>
      <c r="DC8" s="2499"/>
      <c r="DD8" s="2499"/>
      <c r="DE8" s="2499"/>
      <c r="DF8" s="2499"/>
      <c r="DG8" s="2499"/>
      <c r="DH8" s="2499"/>
      <c r="DI8" s="2499"/>
      <c r="DJ8" s="2499"/>
      <c r="DK8" s="2499"/>
      <c r="DL8" s="2499"/>
      <c r="DM8" s="2499"/>
      <c r="DN8" s="2499"/>
      <c r="DO8" s="2499"/>
      <c r="DP8" s="2499"/>
      <c r="DQ8" s="2499"/>
      <c r="DR8" s="2499"/>
      <c r="DS8" s="2499"/>
      <c r="DT8" s="2499"/>
      <c r="DU8" s="2499"/>
      <c r="DV8" s="2499"/>
      <c r="DW8" s="2499"/>
      <c r="DX8" s="2500"/>
      <c r="DY8" s="2501" t="s">
        <v>1205</v>
      </c>
      <c r="DZ8" s="2502"/>
      <c r="EA8" s="2502"/>
      <c r="EB8" s="2502"/>
      <c r="EC8" s="2502"/>
      <c r="ED8" s="2502"/>
      <c r="EE8" s="2502"/>
      <c r="EF8" s="2502"/>
      <c r="EG8" s="2502"/>
      <c r="EH8" s="2502"/>
      <c r="EI8" s="2502"/>
      <c r="EJ8" s="2502"/>
      <c r="EK8" s="2502"/>
      <c r="EL8" s="2502"/>
      <c r="EM8" s="2502"/>
      <c r="EN8" s="2502"/>
      <c r="EO8" s="2502"/>
      <c r="EP8" s="2502"/>
      <c r="EQ8" s="2502"/>
      <c r="ER8" s="2502"/>
      <c r="ES8" s="2502"/>
      <c r="ET8" s="2502"/>
      <c r="EU8" s="2502"/>
      <c r="EV8" s="2502"/>
      <c r="EW8" s="2502"/>
      <c r="EX8" s="2502"/>
      <c r="EY8" s="2502"/>
      <c r="EZ8" s="2502"/>
      <c r="FA8" s="2502"/>
      <c r="FB8" s="2502"/>
      <c r="FC8" s="2502"/>
      <c r="FD8" s="2502"/>
      <c r="FE8" s="2502"/>
      <c r="FF8" s="2502"/>
      <c r="FG8" s="2502"/>
      <c r="FH8" s="2502"/>
      <c r="FI8" s="2502"/>
      <c r="FJ8" s="2502"/>
      <c r="FK8" s="2502"/>
      <c r="FL8" s="2502"/>
      <c r="FM8" s="2502"/>
      <c r="FN8" s="2502"/>
      <c r="FO8" s="2502"/>
      <c r="FP8" s="2502"/>
      <c r="FQ8" s="2502"/>
      <c r="FR8" s="2502"/>
      <c r="FS8" s="2502"/>
      <c r="FT8" s="2502"/>
      <c r="FU8" s="2502"/>
      <c r="FV8" s="2502"/>
      <c r="FW8" s="2503"/>
      <c r="FX8" s="1112"/>
      <c r="GC8" s="989">
        <v>0</v>
      </c>
    </row>
    <row s="12826" customFormat="1" customHeight="1" ht="11.25" hidden="1">
      <c r="B9" s="990"/>
      <c r="F9" s="1112"/>
      <c r="G9" s="819"/>
      <c r="H9" s="416"/>
      <c r="I9" s="416"/>
      <c r="J9" s="416"/>
      <c r="K9" s="416"/>
      <c r="L9" s="416"/>
      <c r="M9" s="1112"/>
      <c r="N9" s="1112"/>
      <c r="O9" s="1112"/>
      <c r="P9" s="1112"/>
      <c r="Q9" s="1112"/>
      <c r="R9" s="1112"/>
      <c r="S9" s="1112"/>
      <c r="T9" s="1112"/>
      <c r="U9" s="1112"/>
      <c r="V9" s="1112"/>
      <c r="W9" s="1112"/>
      <c r="X9" s="1112"/>
      <c r="Y9" s="1112"/>
      <c r="Z9" s="1112"/>
      <c r="AA9" s="1112"/>
      <c r="AB9" s="1112"/>
      <c r="AC9" s="1112"/>
      <c r="AD9" s="1112"/>
      <c r="AE9" s="1112"/>
      <c r="AF9" s="1112"/>
      <c r="AG9" s="1112"/>
      <c r="AH9" s="1112"/>
      <c r="AI9" s="1112"/>
      <c r="AJ9" s="1112"/>
      <c r="AK9" s="1112"/>
      <c r="AL9" s="1112"/>
      <c r="AM9" s="1112"/>
      <c r="AN9" s="1112"/>
      <c r="AO9" s="1112"/>
      <c r="AP9" s="1112"/>
      <c r="AQ9" s="1112"/>
      <c r="AR9" s="1112"/>
      <c r="AS9" s="1112"/>
      <c r="AT9" s="1112"/>
      <c r="AU9" s="1112"/>
      <c r="AV9" s="1112"/>
      <c r="AW9" s="1112"/>
      <c r="AX9" s="1112"/>
      <c r="AY9" s="1112"/>
      <c r="AZ9" s="1112"/>
      <c r="BA9" s="1112"/>
      <c r="BB9" s="1112"/>
      <c r="BC9" s="1112"/>
      <c r="BD9" s="1112"/>
      <c r="BE9" s="1112"/>
      <c r="BF9" s="1112"/>
      <c r="BG9" s="1112"/>
      <c r="BH9" s="1112"/>
      <c r="BI9" s="1112"/>
      <c r="BJ9" s="1112"/>
      <c r="BK9" s="1112"/>
      <c r="BL9" s="1112"/>
      <c r="BM9" s="1112"/>
      <c r="BN9" s="1112"/>
      <c r="BO9" s="1112"/>
      <c r="BP9" s="1112"/>
      <c r="BQ9" s="1112"/>
      <c r="BR9" s="1112"/>
      <c r="BS9" s="1112"/>
      <c r="BT9" s="1112"/>
      <c r="BU9" s="1112"/>
      <c r="BV9" s="1112"/>
      <c r="BW9" s="1112"/>
      <c r="BX9" s="1112"/>
      <c r="BY9" s="1112"/>
      <c r="BZ9" s="1112"/>
      <c r="CA9" s="1112"/>
      <c r="CB9" s="1112"/>
      <c r="CC9" s="1112"/>
      <c r="CD9" s="1112"/>
      <c r="CE9" s="1112"/>
      <c r="CF9" s="1112"/>
      <c r="CG9" s="1112"/>
      <c r="CH9" s="1112"/>
      <c r="CI9" s="1112"/>
      <c r="CJ9" s="1112"/>
      <c r="CK9" s="1112"/>
      <c r="CL9" s="1112"/>
      <c r="CM9" s="1112"/>
      <c r="CN9" s="1112"/>
      <c r="CO9" s="1112"/>
      <c r="CP9" s="1112"/>
      <c r="CQ9" s="1112"/>
      <c r="CR9" s="1112"/>
      <c r="CS9" s="1112"/>
      <c r="CT9" s="1112"/>
      <c r="CU9" s="1112"/>
      <c r="CV9" s="1112"/>
      <c r="CW9" s="1112"/>
      <c r="CX9" s="1112"/>
      <c r="CY9" s="1112"/>
      <c r="CZ9" s="1112"/>
      <c r="DA9" s="1112"/>
      <c r="DB9" s="1112"/>
      <c r="DC9" s="1112"/>
      <c r="DD9" s="1112"/>
      <c r="DE9" s="1112"/>
      <c r="DF9" s="1112"/>
      <c r="DG9" s="1112"/>
      <c r="DH9" s="1112"/>
      <c r="DI9" s="1112"/>
      <c r="DJ9" s="1112"/>
      <c r="DK9" s="1112"/>
      <c r="DL9" s="1112"/>
      <c r="DM9" s="1112"/>
      <c r="DN9" s="1112"/>
      <c r="DO9" s="1112"/>
      <c r="DP9" s="1112"/>
      <c r="DQ9" s="1112"/>
      <c r="DR9" s="1112"/>
      <c r="DS9" s="1112"/>
      <c r="DT9" s="1112"/>
      <c r="DU9" s="1112"/>
      <c r="DV9" s="1112"/>
      <c r="DW9" s="1112"/>
      <c r="DX9" s="1112"/>
      <c r="DY9" s="1112"/>
      <c r="DZ9" s="1112"/>
      <c r="EA9" s="1112"/>
      <c r="EB9" s="1112"/>
      <c r="EC9" s="1112"/>
      <c r="ED9" s="1112"/>
      <c r="EE9" s="1112"/>
      <c r="EF9" s="1112"/>
      <c r="EG9" s="1112"/>
      <c r="EH9" s="1112"/>
      <c r="EI9" s="1112"/>
      <c r="EJ9" s="1112"/>
      <c r="EK9" s="1112"/>
      <c r="EL9" s="1112"/>
      <c r="EM9" s="1112"/>
      <c r="EN9" s="1112"/>
      <c r="EO9" s="1112"/>
      <c r="EP9" s="1112"/>
      <c r="EQ9" s="1112"/>
      <c r="ER9" s="1112"/>
      <c r="ES9" s="1112"/>
      <c r="ET9" s="1112"/>
      <c r="EU9" s="1112"/>
      <c r="EV9" s="1112"/>
      <c r="EW9" s="1112"/>
      <c r="EX9" s="1112"/>
      <c r="EY9" s="1112"/>
      <c r="EZ9" s="1112"/>
      <c r="FA9" s="1112"/>
      <c r="FB9" s="1112"/>
      <c r="FC9" s="1112"/>
      <c r="FD9" s="1112"/>
      <c r="FE9" s="1112"/>
      <c r="FF9" s="1112"/>
      <c r="FG9" s="1112"/>
      <c r="FH9" s="1112"/>
      <c r="FI9" s="1112"/>
      <c r="FJ9" s="1112"/>
      <c r="FK9" s="1112"/>
      <c r="FL9" s="1112"/>
      <c r="FM9" s="1112"/>
      <c r="FN9" s="1112"/>
      <c r="FO9" s="1112"/>
      <c r="FP9" s="1112"/>
      <c r="FQ9" s="1112"/>
      <c r="FR9" s="1112"/>
      <c r="FS9" s="1112"/>
      <c r="FT9" s="1112"/>
      <c r="FU9" s="1112"/>
      <c r="FV9" s="1112"/>
      <c r="FW9" s="2504"/>
      <c r="FX9" s="1112"/>
      <c r="GC9" s="989">
        <v>0</v>
      </c>
    </row>
    <row s="12826" customFormat="1" customHeight="1" ht="11.549999999999999">
      <c r="B10" s="990"/>
      <c r="F10" s="2485" t="s">
        <v>432</v>
      </c>
      <c r="G10" s="2486"/>
      <c r="H10" s="2486"/>
      <c r="I10" s="2486"/>
      <c r="J10" s="2486"/>
      <c r="K10" s="2486"/>
      <c r="L10" s="2486"/>
      <c r="M10" s="2486"/>
      <c r="N10" s="2486"/>
      <c r="O10" s="2486"/>
      <c r="P10" s="2486"/>
      <c r="Q10" s="2486"/>
      <c r="R10" s="2486"/>
      <c r="S10" s="2486"/>
      <c r="T10" s="2486"/>
      <c r="U10" s="2486"/>
      <c r="V10" s="2486"/>
      <c r="W10" s="2486"/>
      <c r="X10" s="2486"/>
      <c r="Y10" s="2486"/>
      <c r="Z10" s="2486"/>
      <c r="AA10" s="2486"/>
      <c r="AB10" s="2486"/>
      <c r="AC10" s="2486"/>
      <c r="AD10" s="2486"/>
      <c r="AE10" s="2486"/>
      <c r="AF10" s="2486"/>
      <c r="AG10" s="2486"/>
      <c r="AH10" s="2486"/>
      <c r="AI10" s="2486"/>
      <c r="AJ10" s="2486"/>
      <c r="AK10" s="2486"/>
      <c r="AL10" s="2486"/>
      <c r="AM10" s="2486"/>
      <c r="AN10" s="2486"/>
      <c r="AO10" s="2486"/>
      <c r="AP10" s="2486"/>
      <c r="AQ10" s="2486"/>
      <c r="AR10" s="2486"/>
      <c r="AS10" s="2486"/>
      <c r="AT10" s="2486"/>
      <c r="AU10" s="2486"/>
      <c r="AV10" s="2486"/>
      <c r="AW10" s="2486"/>
      <c r="AX10" s="2486"/>
      <c r="AY10" s="2486"/>
      <c r="AZ10" s="2486"/>
      <c r="BA10" s="2486"/>
      <c r="BB10" s="2486"/>
      <c r="BC10" s="2486"/>
      <c r="BD10" s="2486"/>
      <c r="BE10" s="2486"/>
      <c r="BF10" s="2486"/>
      <c r="BG10" s="2486"/>
      <c r="BH10" s="2486"/>
      <c r="BI10" s="2486"/>
      <c r="BJ10" s="2486"/>
      <c r="BK10" s="2486"/>
      <c r="BL10" s="2486"/>
      <c r="BM10" s="2486"/>
      <c r="BN10" s="2486"/>
      <c r="BO10" s="2486"/>
      <c r="BP10" s="2486"/>
      <c r="BQ10" s="2486"/>
      <c r="BR10" s="2486"/>
      <c r="BS10" s="2486"/>
      <c r="BT10" s="2486"/>
      <c r="BU10" s="2486"/>
      <c r="BV10" s="2486"/>
      <c r="BW10" s="2486"/>
      <c r="BX10" s="2486"/>
      <c r="BY10" s="2486"/>
      <c r="BZ10" s="2486"/>
      <c r="CA10" s="2486"/>
      <c r="CB10" s="2486"/>
      <c r="CC10" s="2486"/>
      <c r="CD10" s="2486"/>
      <c r="CE10" s="2486"/>
      <c r="CF10" s="2486"/>
      <c r="CG10" s="2486"/>
      <c r="CH10" s="2486"/>
      <c r="CI10" s="2486"/>
      <c r="CJ10" s="2486"/>
      <c r="CK10" s="2486"/>
      <c r="CL10" s="2486"/>
      <c r="CM10" s="2486"/>
      <c r="CN10" s="2486"/>
      <c r="CO10" s="2486"/>
      <c r="CP10" s="2486"/>
      <c r="CQ10" s="2486"/>
      <c r="CR10" s="2486"/>
      <c r="CS10" s="2486"/>
      <c r="CT10" s="2486"/>
      <c r="CU10" s="2486"/>
      <c r="CV10" s="2486"/>
      <c r="CW10" s="2486"/>
      <c r="CX10" s="2486"/>
      <c r="CY10" s="2486"/>
      <c r="CZ10" s="2486"/>
      <c r="DA10" s="2486"/>
      <c r="DB10" s="2486"/>
      <c r="DC10" s="2486"/>
      <c r="DD10" s="2486"/>
      <c r="DE10" s="2486"/>
      <c r="DF10" s="2486"/>
      <c r="DG10" s="2486"/>
      <c r="DH10" s="2486"/>
      <c r="DI10" s="2486"/>
      <c r="DJ10" s="2486"/>
      <c r="DK10" s="2486"/>
      <c r="DL10" s="2486"/>
      <c r="DM10" s="2486"/>
      <c r="DN10" s="2486"/>
      <c r="DO10" s="2486"/>
      <c r="DP10" s="2486"/>
      <c r="DQ10" s="2486"/>
      <c r="DR10" s="2486"/>
      <c r="DS10" s="2486"/>
      <c r="DT10" s="2486"/>
      <c r="DU10" s="2486"/>
      <c r="DV10" s="2486"/>
      <c r="DW10" s="2486"/>
      <c r="DX10" s="2486"/>
      <c r="DY10" s="2486"/>
      <c r="DZ10" s="2486"/>
      <c r="EA10" s="2486"/>
      <c r="EB10" s="2486"/>
      <c r="EC10" s="2486"/>
      <c r="ED10" s="2486"/>
      <c r="EE10" s="2486"/>
      <c r="EF10" s="2486"/>
      <c r="EG10" s="2486"/>
      <c r="EH10" s="2486"/>
      <c r="EI10" s="2486"/>
      <c r="EJ10" s="2486"/>
      <c r="EK10" s="2486"/>
      <c r="EL10" s="2486"/>
      <c r="EM10" s="2486"/>
      <c r="EN10" s="2486"/>
      <c r="EO10" s="2486"/>
      <c r="EP10" s="2486"/>
      <c r="EQ10" s="2486"/>
      <c r="ER10" s="2486"/>
      <c r="ES10" s="2486"/>
      <c r="ET10" s="2486"/>
      <c r="EU10" s="2486"/>
      <c r="EV10" s="2486"/>
      <c r="EW10" s="2486"/>
      <c r="EX10" s="2486"/>
      <c r="EY10" s="2486"/>
      <c r="EZ10" s="2486"/>
      <c r="FA10" s="2486"/>
      <c r="FB10" s="2486"/>
      <c r="FC10" s="2486"/>
      <c r="FD10" s="2486"/>
      <c r="FE10" s="2486"/>
      <c r="FF10" s="2486"/>
      <c r="FG10" s="2486"/>
      <c r="FH10" s="2486"/>
      <c r="FI10" s="2486"/>
      <c r="FJ10" s="2486"/>
      <c r="FK10" s="2486"/>
      <c r="FL10" s="2486"/>
      <c r="FM10" s="2486"/>
      <c r="FN10" s="2486"/>
      <c r="FO10" s="2486"/>
      <c r="FP10" s="2486"/>
      <c r="FQ10" s="2486"/>
      <c r="FR10" s="2486"/>
      <c r="FS10" s="2486"/>
      <c r="FT10" s="2486"/>
      <c r="FU10" s="2486"/>
      <c r="FV10" s="2487"/>
      <c r="FW10" s="2504"/>
      <c r="FX10" s="1112"/>
      <c r="GC10" s="989">
        <v>11</v>
      </c>
    </row>
    <row customHeight="1" ht="12.75">
      <c r="E11" s="993"/>
      <c r="F11" s="2261" t="s">
        <v>92</v>
      </c>
      <c r="G11" s="2261" t="s">
        <v>1206</v>
      </c>
      <c r="H11" s="2493" t="s">
        <v>1207</v>
      </c>
      <c r="I11" s="2493" t="s">
        <v>1208</v>
      </c>
      <c r="J11" s="2494"/>
      <c r="K11" s="2494"/>
      <c r="L11" s="2494"/>
      <c r="M11" s="2494"/>
      <c r="N11" s="2494"/>
      <c r="O11" s="2265" t="s">
        <v>1209</v>
      </c>
      <c r="P11" s="2265"/>
      <c r="Q11" s="2265"/>
      <c r="R11" s="2265"/>
      <c r="S11" s="2265"/>
      <c r="T11" s="2265"/>
      <c r="U11" s="2265"/>
      <c r="V11" s="2265"/>
      <c r="W11" s="2265"/>
      <c r="X11" s="2265"/>
      <c r="Y11" s="2265"/>
      <c r="Z11" s="2265"/>
      <c r="AA11" s="2265"/>
      <c r="AB11" s="2265"/>
      <c r="AC11" s="2490"/>
      <c r="AD11" s="2490"/>
      <c r="AE11" s="2490"/>
      <c r="AF11" s="2490"/>
      <c r="AG11" s="2490"/>
      <c r="AH11" s="2490"/>
      <c r="AI11" s="2490"/>
      <c r="AJ11" s="2490"/>
      <c r="AK11" s="2490"/>
      <c r="AL11" s="2490"/>
      <c r="AM11" s="2490"/>
      <c r="AN11" s="2490"/>
      <c r="AO11" s="2490"/>
      <c r="AP11" s="2490"/>
      <c r="AQ11" s="2490"/>
      <c r="AR11" s="2490"/>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c r="BP11" s="2490"/>
      <c r="BQ11" s="2490"/>
      <c r="BR11" s="2490"/>
      <c r="BS11" s="2509"/>
      <c r="BT11" s="2442" t="s">
        <v>1209</v>
      </c>
      <c r="BU11" s="2443"/>
      <c r="BV11" s="2443"/>
      <c r="BW11" s="2443"/>
      <c r="BX11" s="2443"/>
      <c r="BY11" s="2443"/>
      <c r="BZ11" s="2443"/>
      <c r="CA11" s="2443"/>
      <c r="CB11" s="2443"/>
      <c r="CC11" s="2443"/>
      <c r="CD11" s="2443"/>
      <c r="CE11" s="2443"/>
      <c r="CF11" s="2443"/>
      <c r="CG11" s="2443"/>
      <c r="CH11" s="2443"/>
      <c r="CI11" s="2443"/>
      <c r="CJ11" s="2443"/>
      <c r="CK11" s="2489"/>
      <c r="CL11" s="2492"/>
      <c r="CM11" s="2490"/>
      <c r="CN11" s="2490"/>
      <c r="CO11" s="2490"/>
      <c r="CP11" s="2490"/>
      <c r="CQ11" s="2490"/>
      <c r="CR11" s="2490"/>
      <c r="CS11" s="2490"/>
      <c r="CT11" s="2490"/>
      <c r="CU11" s="2490"/>
      <c r="CV11" s="2490"/>
      <c r="CW11" s="2490"/>
      <c r="CX11" s="2509"/>
      <c r="CY11" s="2442" t="s">
        <v>1209</v>
      </c>
      <c r="CZ11" s="2443"/>
      <c r="DA11" s="2443"/>
      <c r="DB11" s="2443"/>
      <c r="DC11" s="2443"/>
      <c r="DD11" s="2443"/>
      <c r="DE11" s="2443"/>
      <c r="DF11" s="2443"/>
      <c r="DG11" s="2443"/>
      <c r="DH11" s="2443"/>
      <c r="DI11" s="2443"/>
      <c r="DJ11" s="2489"/>
      <c r="DK11" s="2492"/>
      <c r="DL11" s="2490"/>
      <c r="DM11" s="2490"/>
      <c r="DN11" s="2490"/>
      <c r="DO11" s="2490"/>
      <c r="DP11" s="2490"/>
      <c r="DQ11" s="2490"/>
      <c r="DR11" s="2490"/>
      <c r="DS11" s="2490"/>
      <c r="DT11" s="2490"/>
      <c r="DU11" s="2490"/>
      <c r="DV11" s="2490"/>
      <c r="DW11" s="2490"/>
      <c r="DX11" s="2490"/>
      <c r="DY11" s="2490"/>
      <c r="DZ11" s="2490"/>
      <c r="EA11" s="2490"/>
      <c r="EB11" s="2490"/>
      <c r="EC11" s="2490"/>
      <c r="ED11" s="2490"/>
      <c r="EE11" s="2490"/>
      <c r="EF11" s="2490"/>
      <c r="EG11" s="2490"/>
      <c r="EH11" s="2490"/>
      <c r="EI11" s="2490"/>
      <c r="EJ11" s="2490"/>
      <c r="EK11" s="2490"/>
      <c r="EL11" s="2490"/>
      <c r="EM11" s="2490"/>
      <c r="EN11" s="2490"/>
      <c r="EO11" s="2490"/>
      <c r="EP11" s="2490"/>
      <c r="EQ11" s="2490"/>
      <c r="ER11" s="2490"/>
      <c r="ES11" s="2490"/>
      <c r="ET11" s="2490"/>
      <c r="EU11" s="2490"/>
      <c r="EV11" s="2490"/>
      <c r="EW11" s="2490"/>
      <c r="EX11" s="2490"/>
      <c r="EY11" s="2490"/>
      <c r="EZ11" s="2490"/>
      <c r="FA11" s="2490"/>
      <c r="FB11" s="2490"/>
      <c r="FC11" s="2490"/>
      <c r="FD11" s="2490"/>
      <c r="FE11" s="2490"/>
      <c r="FF11" s="2490"/>
      <c r="FG11" s="2490"/>
      <c r="FH11" s="2490"/>
      <c r="FI11" s="2490"/>
      <c r="FJ11" s="2490"/>
      <c r="FK11" s="2490"/>
      <c r="FL11" s="2490"/>
      <c r="FM11" s="2490"/>
      <c r="FN11" s="2490"/>
      <c r="FO11" s="2490"/>
      <c r="FP11" s="2490"/>
      <c r="FQ11" s="2490"/>
      <c r="FR11" s="2490"/>
      <c r="FS11" s="2490"/>
      <c r="FT11" s="2490"/>
      <c r="FU11" s="2490"/>
      <c r="FV11" s="2490"/>
      <c r="FW11" s="2504"/>
      <c r="FX11" s="818"/>
      <c r="GC11" s="982">
        <v>12</v>
      </c>
    </row>
    <row customHeight="1" ht="12.75">
      <c r="D12" s="994"/>
      <c r="E12" s="993"/>
      <c r="F12" s="2261"/>
      <c r="G12" s="2261"/>
      <c r="H12" s="2493"/>
      <c r="I12" s="2493"/>
      <c r="J12" s="2494"/>
      <c r="K12" s="2494"/>
      <c r="L12" s="2494"/>
      <c r="M12" s="2494"/>
      <c r="N12" s="2494"/>
      <c r="O12" s="2265" t="s">
        <v>1210</v>
      </c>
      <c r="P12" s="2265"/>
      <c r="Q12" s="2265"/>
      <c r="R12" s="2265"/>
      <c r="S12" s="2265" t="s">
        <v>1211</v>
      </c>
      <c r="T12" s="2265"/>
      <c r="U12" s="2265"/>
      <c r="V12" s="2265"/>
      <c r="W12" s="2265"/>
      <c r="X12" s="2265"/>
      <c r="Y12" s="2265"/>
      <c r="Z12" s="2265"/>
      <c r="AA12" s="2265"/>
      <c r="AB12" s="2265"/>
      <c r="AC12" s="2490"/>
      <c r="AD12" s="2490"/>
      <c r="AE12" s="2490"/>
      <c r="AF12" s="2490"/>
      <c r="AG12" s="2490"/>
      <c r="AH12" s="2490"/>
      <c r="AI12" s="2490"/>
      <c r="AJ12" s="2490"/>
      <c r="AK12" s="2490"/>
      <c r="AL12" s="2490"/>
      <c r="AM12" s="2490"/>
      <c r="AN12" s="2490"/>
      <c r="AO12" s="2490"/>
      <c r="AP12" s="2490"/>
      <c r="AQ12" s="2490"/>
      <c r="AR12" s="2490"/>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c r="BP12" s="2490"/>
      <c r="BQ12" s="2490"/>
      <c r="BR12" s="2490"/>
      <c r="BS12" s="2509"/>
      <c r="BT12" s="2442" t="s">
        <v>1212</v>
      </c>
      <c r="BU12" s="2443"/>
      <c r="BV12" s="2443"/>
      <c r="BW12" s="2489"/>
      <c r="BX12" s="2442" t="s">
        <v>1213</v>
      </c>
      <c r="BY12" s="2443"/>
      <c r="BZ12" s="2443"/>
      <c r="CA12" s="2489"/>
      <c r="CB12" s="2442" t="s">
        <v>1214</v>
      </c>
      <c r="CC12" s="2489"/>
      <c r="CD12" s="2442" t="s">
        <v>1215</v>
      </c>
      <c r="CE12" s="2443"/>
      <c r="CF12" s="2443"/>
      <c r="CG12" s="2443"/>
      <c r="CH12" s="2443"/>
      <c r="CI12" s="2443"/>
      <c r="CJ12" s="2443"/>
      <c r="CK12" s="2489"/>
      <c r="CL12" s="2492"/>
      <c r="CM12" s="2490"/>
      <c r="CN12" s="2490"/>
      <c r="CO12" s="2490"/>
      <c r="CP12" s="2490"/>
      <c r="CQ12" s="2490"/>
      <c r="CR12" s="2490"/>
      <c r="CS12" s="2490"/>
      <c r="CT12" s="2490"/>
      <c r="CU12" s="2490"/>
      <c r="CV12" s="2490"/>
      <c r="CW12" s="2490"/>
      <c r="CX12" s="2509"/>
      <c r="CY12" s="2442" t="s">
        <v>1216</v>
      </c>
      <c r="CZ12" s="2443"/>
      <c r="DA12" s="2443"/>
      <c r="DB12" s="2443"/>
      <c r="DC12" s="2443"/>
      <c r="DD12" s="2489"/>
      <c r="DE12" s="2442" t="s">
        <v>1217</v>
      </c>
      <c r="DF12" s="2489"/>
      <c r="DG12" s="2442" t="s">
        <v>1215</v>
      </c>
      <c r="DH12" s="2443"/>
      <c r="DI12" s="2443"/>
      <c r="DJ12" s="2489"/>
      <c r="DK12" s="2492"/>
      <c r="DL12" s="2490"/>
      <c r="DM12" s="2490"/>
      <c r="DN12" s="2490"/>
      <c r="DO12" s="2490"/>
      <c r="DP12" s="2490"/>
      <c r="DQ12" s="2490"/>
      <c r="DR12" s="2490"/>
      <c r="DS12" s="2490"/>
      <c r="DT12" s="2490"/>
      <c r="DU12" s="2490"/>
      <c r="DV12" s="2490"/>
      <c r="DW12" s="2490"/>
      <c r="DX12" s="2490"/>
      <c r="DY12" s="2490"/>
      <c r="DZ12" s="2490"/>
      <c r="EA12" s="2490"/>
      <c r="EB12" s="2490"/>
      <c r="EC12" s="2490"/>
      <c r="ED12" s="2490"/>
      <c r="EE12" s="2490"/>
      <c r="EF12" s="2490"/>
      <c r="EG12" s="2490"/>
      <c r="EH12" s="2490"/>
      <c r="EI12" s="2490"/>
      <c r="EJ12" s="2490"/>
      <c r="EK12" s="2490"/>
      <c r="EL12" s="2490"/>
      <c r="EM12" s="2490"/>
      <c r="EN12" s="2490"/>
      <c r="EO12" s="2490"/>
      <c r="EP12" s="2490"/>
      <c r="EQ12" s="2490"/>
      <c r="ER12" s="2490"/>
      <c r="ES12" s="2490"/>
      <c r="ET12" s="2490"/>
      <c r="EU12" s="2490"/>
      <c r="EV12" s="2490"/>
      <c r="EW12" s="2490"/>
      <c r="EX12" s="2490"/>
      <c r="EY12" s="2490"/>
      <c r="EZ12" s="2490"/>
      <c r="FA12" s="2490"/>
      <c r="FB12" s="2490"/>
      <c r="FC12" s="2490"/>
      <c r="FD12" s="2490"/>
      <c r="FE12" s="2490"/>
      <c r="FF12" s="2490"/>
      <c r="FG12" s="2490"/>
      <c r="FH12" s="2490"/>
      <c r="FI12" s="2490"/>
      <c r="FJ12" s="2490"/>
      <c r="FK12" s="2490"/>
      <c r="FL12" s="2490"/>
      <c r="FM12" s="2490"/>
      <c r="FN12" s="2490"/>
      <c r="FO12" s="2490"/>
      <c r="FP12" s="2490"/>
      <c r="FQ12" s="2490"/>
      <c r="FR12" s="2490"/>
      <c r="FS12" s="2490"/>
      <c r="FT12" s="2490"/>
      <c r="FU12" s="2490"/>
      <c r="FV12" s="2490"/>
      <c r="FW12" s="2504"/>
      <c r="FX12" s="818"/>
      <c r="GC12" s="982">
        <v>12</v>
      </c>
    </row>
    <row customHeight="1" ht="37.8">
      <c r="D13" s="994"/>
      <c r="E13" s="993"/>
      <c r="F13" s="2261"/>
      <c r="G13" s="2261"/>
      <c r="H13" s="2493"/>
      <c r="I13" s="2493"/>
      <c r="J13" s="2494"/>
      <c r="K13" s="2494"/>
      <c r="L13" s="2494"/>
      <c r="M13" s="2494"/>
      <c r="N13" s="2494"/>
      <c r="O13" s="2265" t="s">
        <v>1218</v>
      </c>
      <c r="P13" s="2265"/>
      <c r="Q13" s="2265"/>
      <c r="R13" s="2265"/>
      <c r="S13" s="2392" t="s">
        <v>1219</v>
      </c>
      <c r="T13" s="2444"/>
      <c r="U13" s="2183" t="s">
        <v>1220</v>
      </c>
      <c r="V13" s="2183"/>
      <c r="W13" s="2183"/>
      <c r="X13" s="2183"/>
      <c r="Y13" s="2183" t="s">
        <v>1221</v>
      </c>
      <c r="Z13" s="2183"/>
      <c r="AA13" s="2183"/>
      <c r="AB13" s="2183"/>
      <c r="AC13" s="2490"/>
      <c r="AD13" s="2490"/>
      <c r="AE13" s="2490"/>
      <c r="AF13" s="2490"/>
      <c r="AG13" s="2490"/>
      <c r="AH13" s="2490"/>
      <c r="AI13" s="2490"/>
      <c r="AJ13" s="2490"/>
      <c r="AK13" s="2490"/>
      <c r="AL13" s="2490"/>
      <c r="AM13" s="2490"/>
      <c r="AN13" s="2490"/>
      <c r="AO13" s="2490"/>
      <c r="AP13" s="2490"/>
      <c r="AQ13" s="2490"/>
      <c r="AR13" s="2490"/>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c r="BP13" s="2490"/>
      <c r="BQ13" s="2490"/>
      <c r="BR13" s="2490"/>
      <c r="BS13" s="2509"/>
      <c r="BT13" s="2392" t="s">
        <v>1222</v>
      </c>
      <c r="BU13" s="2444"/>
      <c r="BV13" s="2392" t="s">
        <v>1223</v>
      </c>
      <c r="BW13" s="2444"/>
      <c r="BX13" s="2392" t="s">
        <v>1224</v>
      </c>
      <c r="BY13" s="2444"/>
      <c r="BZ13" s="2392" t="s">
        <v>1225</v>
      </c>
      <c r="CA13" s="2444"/>
      <c r="CB13" s="2392" t="s">
        <v>1226</v>
      </c>
      <c r="CC13" s="2444"/>
      <c r="CD13" s="2392" t="s">
        <v>1227</v>
      </c>
      <c r="CE13" s="2444"/>
      <c r="CF13" s="2392" t="s">
        <v>1228</v>
      </c>
      <c r="CG13" s="2444"/>
      <c r="CH13" s="2442" t="s">
        <v>1229</v>
      </c>
      <c r="CI13" s="2443"/>
      <c r="CJ13" s="2443"/>
      <c r="CK13" s="2489"/>
      <c r="CL13" s="2492"/>
      <c r="CM13" s="2490"/>
      <c r="CN13" s="2490"/>
      <c r="CO13" s="2490"/>
      <c r="CP13" s="2490"/>
      <c r="CQ13" s="2490"/>
      <c r="CR13" s="2490"/>
      <c r="CS13" s="2490"/>
      <c r="CT13" s="2490"/>
      <c r="CU13" s="2490"/>
      <c r="CV13" s="2490"/>
      <c r="CW13" s="2490"/>
      <c r="CX13" s="2509"/>
      <c r="CY13" s="2392" t="s">
        <v>1230</v>
      </c>
      <c r="CZ13" s="2444"/>
      <c r="DA13" s="2392" t="s">
        <v>1231</v>
      </c>
      <c r="DB13" s="2444"/>
      <c r="DC13" s="2392" t="s">
        <v>1232</v>
      </c>
      <c r="DD13" s="2444"/>
      <c r="DE13" s="2392" t="s">
        <v>1233</v>
      </c>
      <c r="DF13" s="2444"/>
      <c r="DG13" s="2442" t="s">
        <v>1234</v>
      </c>
      <c r="DH13" s="2443"/>
      <c r="DI13" s="2443"/>
      <c r="DJ13" s="2489"/>
      <c r="DK13" s="2492"/>
      <c r="DL13" s="2490"/>
      <c r="DM13" s="2490"/>
      <c r="DN13" s="2490"/>
      <c r="DO13" s="2490"/>
      <c r="DP13" s="2490"/>
      <c r="DQ13" s="2490"/>
      <c r="DR13" s="2490"/>
      <c r="DS13" s="2490"/>
      <c r="DT13" s="2490"/>
      <c r="DU13" s="2490"/>
      <c r="DV13" s="2490"/>
      <c r="DW13" s="2490"/>
      <c r="DX13" s="2490"/>
      <c r="DY13" s="2490"/>
      <c r="DZ13" s="2490"/>
      <c r="EA13" s="2490"/>
      <c r="EB13" s="2490"/>
      <c r="EC13" s="2490"/>
      <c r="ED13" s="2490"/>
      <c r="EE13" s="2490"/>
      <c r="EF13" s="2490"/>
      <c r="EG13" s="2490"/>
      <c r="EH13" s="2490"/>
      <c r="EI13" s="2490"/>
      <c r="EJ13" s="2490"/>
      <c r="EK13" s="2490"/>
      <c r="EL13" s="2490"/>
      <c r="EM13" s="2490"/>
      <c r="EN13" s="2490"/>
      <c r="EO13" s="2490"/>
      <c r="EP13" s="2490"/>
      <c r="EQ13" s="2490"/>
      <c r="ER13" s="2490"/>
      <c r="ES13" s="2490"/>
      <c r="ET13" s="2490"/>
      <c r="EU13" s="2490"/>
      <c r="EV13" s="2490"/>
      <c r="EW13" s="2490"/>
      <c r="EX13" s="2490"/>
      <c r="EY13" s="2490"/>
      <c r="EZ13" s="2490"/>
      <c r="FA13" s="2490"/>
      <c r="FB13" s="2490"/>
      <c r="FC13" s="2490"/>
      <c r="FD13" s="2490"/>
      <c r="FE13" s="2490"/>
      <c r="FF13" s="2490"/>
      <c r="FG13" s="2490"/>
      <c r="FH13" s="2490"/>
      <c r="FI13" s="2490"/>
      <c r="FJ13" s="2490"/>
      <c r="FK13" s="2490"/>
      <c r="FL13" s="2490"/>
      <c r="FM13" s="2490"/>
      <c r="FN13" s="2490"/>
      <c r="FO13" s="2490"/>
      <c r="FP13" s="2490"/>
      <c r="FQ13" s="2490"/>
      <c r="FR13" s="2490"/>
      <c r="FS13" s="2490"/>
      <c r="FT13" s="2490"/>
      <c r="FU13" s="2490"/>
      <c r="FV13" s="2490"/>
      <c r="FW13" s="2504"/>
      <c r="FX13" s="818"/>
      <c r="GC13" s="982">
        <v>36</v>
      </c>
    </row>
    <row customHeight="1" ht="37.8">
      <c r="D14" s="994"/>
      <c r="E14" s="993"/>
      <c r="F14" s="2261"/>
      <c r="G14" s="2261"/>
      <c r="H14" s="2493"/>
      <c r="I14" s="2493"/>
      <c r="J14" s="2494"/>
      <c r="K14" s="2494"/>
      <c r="L14" s="2494"/>
      <c r="M14" s="2494"/>
      <c r="N14" s="2494"/>
      <c r="O14" s="2392" t="s">
        <v>1235</v>
      </c>
      <c r="P14" s="2444"/>
      <c r="Q14" s="2392" t="s">
        <v>1236</v>
      </c>
      <c r="R14" s="2444"/>
      <c r="S14" s="2393"/>
      <c r="T14" s="2269"/>
      <c r="U14" s="2392" t="s">
        <v>968</v>
      </c>
      <c r="V14" s="2444"/>
      <c r="W14" s="2392" t="s">
        <v>971</v>
      </c>
      <c r="X14" s="2444"/>
      <c r="Y14" s="2392" t="s">
        <v>968</v>
      </c>
      <c r="Z14" s="2444"/>
      <c r="AA14" s="2392" t="s">
        <v>978</v>
      </c>
      <c r="AB14" s="2444"/>
      <c r="AC14" s="2490"/>
      <c r="AD14" s="2490"/>
      <c r="AE14" s="2490"/>
      <c r="AF14" s="2490"/>
      <c r="AG14" s="2490"/>
      <c r="AH14" s="2490"/>
      <c r="AI14" s="2490"/>
      <c r="AJ14" s="2490"/>
      <c r="AK14" s="2490"/>
      <c r="AL14" s="2490"/>
      <c r="AM14" s="2490"/>
      <c r="AN14" s="2490"/>
      <c r="AO14" s="2490"/>
      <c r="AP14" s="2490"/>
      <c r="AQ14" s="2490"/>
      <c r="AR14" s="2490"/>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c r="BP14" s="2490"/>
      <c r="BQ14" s="2490"/>
      <c r="BR14" s="2490"/>
      <c r="BS14" s="2509"/>
      <c r="BT14" s="2393"/>
      <c r="BU14" s="2269"/>
      <c r="BV14" s="2393"/>
      <c r="BW14" s="2269"/>
      <c r="BX14" s="2393"/>
      <c r="BY14" s="2269"/>
      <c r="BZ14" s="2393"/>
      <c r="CA14" s="2269"/>
      <c r="CB14" s="2393"/>
      <c r="CC14" s="2269"/>
      <c r="CD14" s="2393"/>
      <c r="CE14" s="2269"/>
      <c r="CF14" s="2393"/>
      <c r="CG14" s="2269"/>
      <c r="CH14" s="2392" t="s">
        <v>1237</v>
      </c>
      <c r="CI14" s="2444"/>
      <c r="CJ14" s="2392" t="s">
        <v>1238</v>
      </c>
      <c r="CK14" s="2444"/>
      <c r="CL14" s="2492"/>
      <c r="CM14" s="2490"/>
      <c r="CN14" s="2490"/>
      <c r="CO14" s="2490"/>
      <c r="CP14" s="2490"/>
      <c r="CQ14" s="2490"/>
      <c r="CR14" s="2490"/>
      <c r="CS14" s="2490"/>
      <c r="CT14" s="2490"/>
      <c r="CU14" s="2490"/>
      <c r="CV14" s="2490"/>
      <c r="CW14" s="2490"/>
      <c r="CX14" s="2509"/>
      <c r="CY14" s="2393"/>
      <c r="CZ14" s="2269"/>
      <c r="DA14" s="2393"/>
      <c r="DB14" s="2269"/>
      <c r="DC14" s="2393"/>
      <c r="DD14" s="2269"/>
      <c r="DE14" s="2393"/>
      <c r="DF14" s="2269"/>
      <c r="DG14" s="2392" t="s">
        <v>1239</v>
      </c>
      <c r="DH14" s="2444"/>
      <c r="DI14" s="2392" t="s">
        <v>1240</v>
      </c>
      <c r="DJ14" s="2444"/>
      <c r="DK14" s="2492"/>
      <c r="DL14" s="2490"/>
      <c r="DM14" s="2490"/>
      <c r="DN14" s="2490"/>
      <c r="DO14" s="2490"/>
      <c r="DP14" s="2490"/>
      <c r="DQ14" s="2490"/>
      <c r="DR14" s="2490"/>
      <c r="DS14" s="2490"/>
      <c r="DT14" s="2490"/>
      <c r="DU14" s="2490"/>
      <c r="DV14" s="2490"/>
      <c r="DW14" s="2490"/>
      <c r="DX14" s="2490"/>
      <c r="DY14" s="2490"/>
      <c r="DZ14" s="2490"/>
      <c r="EA14" s="2490"/>
      <c r="EB14" s="2490"/>
      <c r="EC14" s="2490"/>
      <c r="ED14" s="2490"/>
      <c r="EE14" s="2490"/>
      <c r="EF14" s="2490"/>
      <c r="EG14" s="2490"/>
      <c r="EH14" s="2490"/>
      <c r="EI14" s="2490"/>
      <c r="EJ14" s="2490"/>
      <c r="EK14" s="2490"/>
      <c r="EL14" s="2490"/>
      <c r="EM14" s="2490"/>
      <c r="EN14" s="2490"/>
      <c r="EO14" s="2490"/>
      <c r="EP14" s="2490"/>
      <c r="EQ14" s="2490"/>
      <c r="ER14" s="2490"/>
      <c r="ES14" s="2490"/>
      <c r="ET14" s="2490"/>
      <c r="EU14" s="2490"/>
      <c r="EV14" s="2490"/>
      <c r="EW14" s="2490"/>
      <c r="EX14" s="2490"/>
      <c r="EY14" s="2490"/>
      <c r="EZ14" s="2490"/>
      <c r="FA14" s="2490"/>
      <c r="FB14" s="2490"/>
      <c r="FC14" s="2490"/>
      <c r="FD14" s="2490"/>
      <c r="FE14" s="2490"/>
      <c r="FF14" s="2490"/>
      <c r="FG14" s="2490"/>
      <c r="FH14" s="2490"/>
      <c r="FI14" s="2490"/>
      <c r="FJ14" s="2490"/>
      <c r="FK14" s="2490"/>
      <c r="FL14" s="2490"/>
      <c r="FM14" s="2490"/>
      <c r="FN14" s="2490"/>
      <c r="FO14" s="2490"/>
      <c r="FP14" s="2490"/>
      <c r="FQ14" s="2490"/>
      <c r="FR14" s="2490"/>
      <c r="FS14" s="2490"/>
      <c r="FT14" s="2490"/>
      <c r="FU14" s="2490"/>
      <c r="FV14" s="2490"/>
      <c r="FW14" s="2504"/>
      <c r="FX14" s="818"/>
      <c r="GC14" s="982">
        <v>36</v>
      </c>
    </row>
    <row customHeight="1" ht="37.8">
      <c r="D15" s="994"/>
      <c r="E15" s="993"/>
      <c r="F15" s="2261"/>
      <c r="G15" s="2261"/>
      <c r="H15" s="2493"/>
      <c r="I15" s="2493"/>
      <c r="J15" s="2494"/>
      <c r="K15" s="2494"/>
      <c r="L15" s="2494"/>
      <c r="M15" s="2494"/>
      <c r="N15" s="2494"/>
      <c r="O15" s="2394"/>
      <c r="P15" s="2491"/>
      <c r="Q15" s="2394"/>
      <c r="R15" s="2491"/>
      <c r="S15" s="2394"/>
      <c r="T15" s="2491"/>
      <c r="U15" s="2394"/>
      <c r="V15" s="2491"/>
      <c r="W15" s="2394"/>
      <c r="X15" s="2491"/>
      <c r="Y15" s="2394"/>
      <c r="Z15" s="2491"/>
      <c r="AA15" s="2394"/>
      <c r="AB15" s="2491"/>
      <c r="AC15" s="2490"/>
      <c r="AD15" s="2490"/>
      <c r="AE15" s="2490"/>
      <c r="AF15" s="2490"/>
      <c r="AG15" s="2490"/>
      <c r="AH15" s="2490"/>
      <c r="AI15" s="2490"/>
      <c r="AJ15" s="2490"/>
      <c r="AK15" s="2490"/>
      <c r="AL15" s="2490"/>
      <c r="AM15" s="2490"/>
      <c r="AN15" s="2490"/>
      <c r="AO15" s="2490"/>
      <c r="AP15" s="2490"/>
      <c r="AQ15" s="2490"/>
      <c r="AR15" s="2490"/>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c r="BP15" s="2490"/>
      <c r="BQ15" s="2490"/>
      <c r="BR15" s="2490"/>
      <c r="BS15" s="2509"/>
      <c r="BT15" s="2394"/>
      <c r="BU15" s="2491"/>
      <c r="BV15" s="2394"/>
      <c r="BW15" s="2491"/>
      <c r="BX15" s="2394"/>
      <c r="BY15" s="2491"/>
      <c r="BZ15" s="2394"/>
      <c r="CA15" s="2491"/>
      <c r="CB15" s="2394"/>
      <c r="CC15" s="2491"/>
      <c r="CD15" s="2394"/>
      <c r="CE15" s="2491"/>
      <c r="CF15" s="2394"/>
      <c r="CG15" s="2491"/>
      <c r="CH15" s="2394"/>
      <c r="CI15" s="2491"/>
      <c r="CJ15" s="2394"/>
      <c r="CK15" s="2491"/>
      <c r="CL15" s="2492"/>
      <c r="CM15" s="2490"/>
      <c r="CN15" s="2490"/>
      <c r="CO15" s="2490"/>
      <c r="CP15" s="2490"/>
      <c r="CQ15" s="2490"/>
      <c r="CR15" s="2490"/>
      <c r="CS15" s="2490"/>
      <c r="CT15" s="2490"/>
      <c r="CU15" s="2490"/>
      <c r="CV15" s="2490"/>
      <c r="CW15" s="2490"/>
      <c r="CX15" s="2509"/>
      <c r="CY15" s="2394"/>
      <c r="CZ15" s="2491"/>
      <c r="DA15" s="2394"/>
      <c r="DB15" s="2491"/>
      <c r="DC15" s="2394"/>
      <c r="DD15" s="2491"/>
      <c r="DE15" s="2394"/>
      <c r="DF15" s="2491"/>
      <c r="DG15" s="2394"/>
      <c r="DH15" s="2491"/>
      <c r="DI15" s="2394"/>
      <c r="DJ15" s="2491"/>
      <c r="DK15" s="2492"/>
      <c r="DL15" s="2490"/>
      <c r="DM15" s="2490"/>
      <c r="DN15" s="2490"/>
      <c r="DO15" s="2490"/>
      <c r="DP15" s="2490"/>
      <c r="DQ15" s="2490"/>
      <c r="DR15" s="2490"/>
      <c r="DS15" s="2490"/>
      <c r="DT15" s="2490"/>
      <c r="DU15" s="2490"/>
      <c r="DV15" s="2490"/>
      <c r="DW15" s="2490"/>
      <c r="DX15" s="2490"/>
      <c r="DY15" s="2490"/>
      <c r="DZ15" s="2490"/>
      <c r="EA15" s="2490"/>
      <c r="EB15" s="2490"/>
      <c r="EC15" s="2490"/>
      <c r="ED15" s="2490"/>
      <c r="EE15" s="2490"/>
      <c r="EF15" s="2490"/>
      <c r="EG15" s="2490"/>
      <c r="EH15" s="2490"/>
      <c r="EI15" s="2490"/>
      <c r="EJ15" s="2490"/>
      <c r="EK15" s="2490"/>
      <c r="EL15" s="2490"/>
      <c r="EM15" s="2490"/>
      <c r="EN15" s="2490"/>
      <c r="EO15" s="2490"/>
      <c r="EP15" s="2490"/>
      <c r="EQ15" s="2490"/>
      <c r="ER15" s="2490"/>
      <c r="ES15" s="2490"/>
      <c r="ET15" s="2490"/>
      <c r="EU15" s="2490"/>
      <c r="EV15" s="2490"/>
      <c r="EW15" s="2490"/>
      <c r="EX15" s="2490"/>
      <c r="EY15" s="2490"/>
      <c r="EZ15" s="2490"/>
      <c r="FA15" s="2490"/>
      <c r="FB15" s="2490"/>
      <c r="FC15" s="2490"/>
      <c r="FD15" s="2490"/>
      <c r="FE15" s="2490"/>
      <c r="FF15" s="2490"/>
      <c r="FG15" s="2490"/>
      <c r="FH15" s="2490"/>
      <c r="FI15" s="2490"/>
      <c r="FJ15" s="2490"/>
      <c r="FK15" s="2490"/>
      <c r="FL15" s="2490"/>
      <c r="FM15" s="2490"/>
      <c r="FN15" s="2490"/>
      <c r="FO15" s="2490"/>
      <c r="FP15" s="2490"/>
      <c r="FQ15" s="2490"/>
      <c r="FR15" s="2490"/>
      <c r="FS15" s="2490"/>
      <c r="FT15" s="2490"/>
      <c r="FU15" s="2490"/>
      <c r="FV15" s="2490"/>
      <c r="FW15" s="2504"/>
      <c r="FX15" s="818"/>
      <c r="GC15" s="982">
        <v>36</v>
      </c>
    </row>
    <row customHeight="1" ht="12.75">
      <c r="D16" s="994"/>
      <c r="E16" s="993"/>
      <c r="F16" s="2261"/>
      <c r="G16" s="2261"/>
      <c r="H16" s="2493"/>
      <c r="I16" s="2493"/>
      <c r="J16" s="2494"/>
      <c r="K16" s="2494"/>
      <c r="L16" s="2494"/>
      <c r="M16" s="2494"/>
      <c r="N16" s="2494"/>
      <c r="O16" s="2442" t="s">
        <v>958</v>
      </c>
      <c r="P16" s="2489"/>
      <c r="Q16" s="2442" t="s">
        <v>960</v>
      </c>
      <c r="R16" s="2489"/>
      <c r="S16" s="2442" t="s">
        <v>964</v>
      </c>
      <c r="T16" s="2489"/>
      <c r="U16" s="2442" t="s">
        <v>969</v>
      </c>
      <c r="V16" s="2489"/>
      <c r="W16" s="2442" t="s">
        <v>972</v>
      </c>
      <c r="X16" s="2489"/>
      <c r="Y16" s="2442" t="s">
        <v>976</v>
      </c>
      <c r="Z16" s="2489"/>
      <c r="AA16" s="2442" t="s">
        <v>979</v>
      </c>
      <c r="AB16" s="2489"/>
      <c r="AC16" s="2490"/>
      <c r="AD16" s="2490"/>
      <c r="AE16" s="2490"/>
      <c r="AF16" s="2490"/>
      <c r="AG16" s="2490"/>
      <c r="AH16" s="2490"/>
      <c r="AI16" s="2490"/>
      <c r="AJ16" s="2490"/>
      <c r="AK16" s="2490"/>
      <c r="AL16" s="2490"/>
      <c r="AM16" s="2490"/>
      <c r="AN16" s="2490"/>
      <c r="AO16" s="2490"/>
      <c r="AP16" s="2490"/>
      <c r="AQ16" s="2490"/>
      <c r="AR16" s="2490"/>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c r="BP16" s="2490"/>
      <c r="BQ16" s="2490"/>
      <c r="BR16" s="2490"/>
      <c r="BS16" s="2509"/>
      <c r="BT16" s="2442" t="s">
        <v>691</v>
      </c>
      <c r="BU16" s="2489"/>
      <c r="BV16" s="2442" t="s">
        <v>691</v>
      </c>
      <c r="BW16" s="2489"/>
      <c r="BX16" s="2442" t="s">
        <v>691</v>
      </c>
      <c r="BY16" s="2489"/>
      <c r="BZ16" s="2442" t="s">
        <v>691</v>
      </c>
      <c r="CA16" s="2489"/>
      <c r="CB16" s="2442" t="s">
        <v>1241</v>
      </c>
      <c r="CC16" s="2489"/>
      <c r="CD16" s="2442" t="s">
        <v>691</v>
      </c>
      <c r="CE16" s="2489"/>
      <c r="CF16" s="2442" t="s">
        <v>1242</v>
      </c>
      <c r="CG16" s="2489"/>
      <c r="CH16" s="2442" t="s">
        <v>1243</v>
      </c>
      <c r="CI16" s="2489"/>
      <c r="CJ16" s="2442" t="s">
        <v>1243</v>
      </c>
      <c r="CK16" s="2489"/>
      <c r="CL16" s="2492"/>
      <c r="CM16" s="2490"/>
      <c r="CN16" s="2490"/>
      <c r="CO16" s="2490"/>
      <c r="CP16" s="2490"/>
      <c r="CQ16" s="2490"/>
      <c r="CR16" s="2490"/>
      <c r="CS16" s="2490"/>
      <c r="CT16" s="2490"/>
      <c r="CU16" s="2490"/>
      <c r="CV16" s="2490"/>
      <c r="CW16" s="2490"/>
      <c r="CX16" s="2509"/>
      <c r="CY16" s="2392" t="s">
        <v>691</v>
      </c>
      <c r="CZ16" s="2444"/>
      <c r="DA16" s="2392" t="s">
        <v>691</v>
      </c>
      <c r="DB16" s="2444"/>
      <c r="DC16" s="2392" t="s">
        <v>691</v>
      </c>
      <c r="DD16" s="2444"/>
      <c r="DE16" s="2442" t="s">
        <v>1241</v>
      </c>
      <c r="DF16" s="2489"/>
      <c r="DG16" s="2442" t="s">
        <v>1244</v>
      </c>
      <c r="DH16" s="2489"/>
      <c r="DI16" s="2442" t="s">
        <v>1244</v>
      </c>
      <c r="DJ16" s="2489"/>
      <c r="DK16" s="2492"/>
      <c r="DL16" s="2490"/>
      <c r="DM16" s="2490"/>
      <c r="DN16" s="2490"/>
      <c r="DO16" s="2490"/>
      <c r="DP16" s="2490"/>
      <c r="DQ16" s="2490"/>
      <c r="DR16" s="2490"/>
      <c r="DS16" s="2490"/>
      <c r="DT16" s="2490"/>
      <c r="DU16" s="2490"/>
      <c r="DV16" s="2490"/>
      <c r="DW16" s="2490"/>
      <c r="DX16" s="2490"/>
      <c r="DY16" s="2490"/>
      <c r="DZ16" s="2490"/>
      <c r="EA16" s="2490"/>
      <c r="EB16" s="2490"/>
      <c r="EC16" s="2490"/>
      <c r="ED16" s="2490"/>
      <c r="EE16" s="2490"/>
      <c r="EF16" s="2490"/>
      <c r="EG16" s="2490"/>
      <c r="EH16" s="2490"/>
      <c r="EI16" s="2490"/>
      <c r="EJ16" s="2490"/>
      <c r="EK16" s="2490"/>
      <c r="EL16" s="2490"/>
      <c r="EM16" s="2490"/>
      <c r="EN16" s="2490"/>
      <c r="EO16" s="2490"/>
      <c r="EP16" s="2490"/>
      <c r="EQ16" s="2490"/>
      <c r="ER16" s="2490"/>
      <c r="ES16" s="2490"/>
      <c r="ET16" s="2490"/>
      <c r="EU16" s="2490"/>
      <c r="EV16" s="2490"/>
      <c r="EW16" s="2490"/>
      <c r="EX16" s="2490"/>
      <c r="EY16" s="2490"/>
      <c r="EZ16" s="2490"/>
      <c r="FA16" s="2490"/>
      <c r="FB16" s="2490"/>
      <c r="FC16" s="2490"/>
      <c r="FD16" s="2490"/>
      <c r="FE16" s="2490"/>
      <c r="FF16" s="2490"/>
      <c r="FG16" s="2490"/>
      <c r="FH16" s="2490"/>
      <c r="FI16" s="2490"/>
      <c r="FJ16" s="2490"/>
      <c r="FK16" s="2490"/>
      <c r="FL16" s="2490"/>
      <c r="FM16" s="2490"/>
      <c r="FN16" s="2490"/>
      <c r="FO16" s="2490"/>
      <c r="FP16" s="2490"/>
      <c r="FQ16" s="2490"/>
      <c r="FR16" s="2490"/>
      <c r="FS16" s="2490"/>
      <c r="FT16" s="2490"/>
      <c r="FU16" s="2490"/>
      <c r="FV16" s="2490"/>
      <c r="FW16" s="2504"/>
      <c r="FX16" s="818"/>
      <c r="GC16" s="982">
        <v>12</v>
      </c>
    </row>
    <row customHeight="1" ht="15.75">
      <c r="E17" s="993"/>
      <c r="F17" s="2261"/>
      <c r="G17" s="2261"/>
      <c r="H17" s="2493"/>
      <c r="I17" s="2493"/>
      <c r="J17" s="2494"/>
      <c r="K17" s="2494"/>
      <c r="L17" s="2494"/>
      <c r="M17" s="2494"/>
      <c r="N17" s="2494"/>
      <c r="O17" s="1247" t="s">
        <v>1245</v>
      </c>
      <c r="P17" s="1247" t="s">
        <v>1246</v>
      </c>
      <c r="Q17" s="1247" t="s">
        <v>1245</v>
      </c>
      <c r="R17" s="1247" t="s">
        <v>1246</v>
      </c>
      <c r="S17" s="1247" t="s">
        <v>1245</v>
      </c>
      <c r="T17" s="1247" t="s">
        <v>1246</v>
      </c>
      <c r="U17" s="1247" t="s">
        <v>1245</v>
      </c>
      <c r="V17" s="1247" t="s">
        <v>1246</v>
      </c>
      <c r="W17" s="1247" t="s">
        <v>1245</v>
      </c>
      <c r="X17" s="1247" t="s">
        <v>1246</v>
      </c>
      <c r="Y17" s="1247" t="s">
        <v>1245</v>
      </c>
      <c r="Z17" s="1247" t="s">
        <v>1246</v>
      </c>
      <c r="AA17" s="1247" t="s">
        <v>1245</v>
      </c>
      <c r="AB17" s="1247" t="s">
        <v>1246</v>
      </c>
      <c r="AC17" s="2490"/>
      <c r="AD17" s="2490"/>
      <c r="AE17" s="2490"/>
      <c r="AF17" s="2490"/>
      <c r="AG17" s="2490"/>
      <c r="AH17" s="2490"/>
      <c r="AI17" s="2490"/>
      <c r="AJ17" s="2490"/>
      <c r="AK17" s="2490"/>
      <c r="AL17" s="2490"/>
      <c r="AM17" s="2490"/>
      <c r="AN17" s="2490"/>
      <c r="AO17" s="2490"/>
      <c r="AP17" s="2490"/>
      <c r="AQ17" s="2490"/>
      <c r="AR17" s="2490"/>
      <c r="AS17" s="2490"/>
      <c r="AT17" s="2490"/>
      <c r="AU17" s="2490"/>
      <c r="AV17" s="2490"/>
      <c r="AW17" s="2490"/>
      <c r="AX17" s="2490"/>
      <c r="AY17" s="2490"/>
      <c r="AZ17" s="2490"/>
      <c r="BA17" s="2490"/>
      <c r="BB17" s="2490"/>
      <c r="BC17" s="2490"/>
      <c r="BD17" s="2490"/>
      <c r="BE17" s="2490"/>
      <c r="BF17" s="2490"/>
      <c r="BG17" s="2490"/>
      <c r="BH17" s="2490"/>
      <c r="BI17" s="2490"/>
      <c r="BJ17" s="2490"/>
      <c r="BK17" s="2490"/>
      <c r="BL17" s="2490"/>
      <c r="BM17" s="2490"/>
      <c r="BN17" s="2490"/>
      <c r="BO17" s="2490"/>
      <c r="BP17" s="2490"/>
      <c r="BQ17" s="2490"/>
      <c r="BR17" s="2490"/>
      <c r="BS17" s="2509"/>
      <c r="BT17" s="1247" t="s">
        <v>1245</v>
      </c>
      <c r="BU17" s="1247" t="s">
        <v>1246</v>
      </c>
      <c r="BV17" s="1247" t="s">
        <v>1245</v>
      </c>
      <c r="BW17" s="1247" t="s">
        <v>1246</v>
      </c>
      <c r="BX17" s="1247" t="s">
        <v>1245</v>
      </c>
      <c r="BY17" s="1247" t="s">
        <v>1246</v>
      </c>
      <c r="BZ17" s="1247" t="s">
        <v>1245</v>
      </c>
      <c r="CA17" s="1247" t="s">
        <v>1246</v>
      </c>
      <c r="CB17" s="1247" t="s">
        <v>1245</v>
      </c>
      <c r="CC17" s="1247" t="s">
        <v>1246</v>
      </c>
      <c r="CD17" s="1247" t="s">
        <v>1245</v>
      </c>
      <c r="CE17" s="1247" t="s">
        <v>1246</v>
      </c>
      <c r="CF17" s="1247" t="s">
        <v>1245</v>
      </c>
      <c r="CG17" s="1247" t="s">
        <v>1246</v>
      </c>
      <c r="CH17" s="1247" t="s">
        <v>1245</v>
      </c>
      <c r="CI17" s="1247" t="s">
        <v>1246</v>
      </c>
      <c r="CJ17" s="1247" t="s">
        <v>1245</v>
      </c>
      <c r="CK17" s="1247" t="s">
        <v>1246</v>
      </c>
      <c r="CL17" s="2492"/>
      <c r="CM17" s="2490"/>
      <c r="CN17" s="2490"/>
      <c r="CO17" s="2490"/>
      <c r="CP17" s="2490"/>
      <c r="CQ17" s="2490"/>
      <c r="CR17" s="2490"/>
      <c r="CS17" s="2490"/>
      <c r="CT17" s="2490"/>
      <c r="CU17" s="2490"/>
      <c r="CV17" s="2490"/>
      <c r="CW17" s="2490"/>
      <c r="CX17" s="2509"/>
      <c r="CY17" s="1247" t="s">
        <v>1245</v>
      </c>
      <c r="CZ17" s="1247" t="s">
        <v>1246</v>
      </c>
      <c r="DA17" s="1247" t="s">
        <v>1245</v>
      </c>
      <c r="DB17" s="1247" t="s">
        <v>1246</v>
      </c>
      <c r="DC17" s="1247" t="s">
        <v>1245</v>
      </c>
      <c r="DD17" s="1247" t="s">
        <v>1246</v>
      </c>
      <c r="DE17" s="1247" t="s">
        <v>1245</v>
      </c>
      <c r="DF17" s="1247" t="s">
        <v>1246</v>
      </c>
      <c r="DG17" s="1247" t="s">
        <v>1245</v>
      </c>
      <c r="DH17" s="1247" t="s">
        <v>1246</v>
      </c>
      <c r="DI17" s="1247" t="s">
        <v>1245</v>
      </c>
      <c r="DJ17" s="1247" t="s">
        <v>1246</v>
      </c>
      <c r="DK17" s="2492"/>
      <c r="DL17" s="2490"/>
      <c r="DM17" s="2490"/>
      <c r="DN17" s="2490"/>
      <c r="DO17" s="2490"/>
      <c r="DP17" s="2490"/>
      <c r="DQ17" s="2490"/>
      <c r="DR17" s="2490"/>
      <c r="DS17" s="2490"/>
      <c r="DT17" s="2490"/>
      <c r="DU17" s="2490"/>
      <c r="DV17" s="2490"/>
      <c r="DW17" s="2490"/>
      <c r="DX17" s="2490"/>
      <c r="DY17" s="2490"/>
      <c r="DZ17" s="2490"/>
      <c r="EA17" s="2490"/>
      <c r="EB17" s="2490"/>
      <c r="EC17" s="2490"/>
      <c r="ED17" s="2490"/>
      <c r="EE17" s="2490"/>
      <c r="EF17" s="2490"/>
      <c r="EG17" s="2490"/>
      <c r="EH17" s="2490"/>
      <c r="EI17" s="2490"/>
      <c r="EJ17" s="2490"/>
      <c r="EK17" s="2490"/>
      <c r="EL17" s="2490"/>
      <c r="EM17" s="2490"/>
      <c r="EN17" s="2490"/>
      <c r="EO17" s="2490"/>
      <c r="EP17" s="2490"/>
      <c r="EQ17" s="2490"/>
      <c r="ER17" s="2490"/>
      <c r="ES17" s="2490"/>
      <c r="ET17" s="2490"/>
      <c r="EU17" s="2490"/>
      <c r="EV17" s="2490"/>
      <c r="EW17" s="2490"/>
      <c r="EX17" s="2490"/>
      <c r="EY17" s="2490"/>
      <c r="EZ17" s="2490"/>
      <c r="FA17" s="2490"/>
      <c r="FB17" s="2490"/>
      <c r="FC17" s="2490"/>
      <c r="FD17" s="2490"/>
      <c r="FE17" s="2490"/>
      <c r="FF17" s="2490"/>
      <c r="FG17" s="2490"/>
      <c r="FH17" s="2490"/>
      <c r="FI17" s="2490"/>
      <c r="FJ17" s="2490"/>
      <c r="FK17" s="2490"/>
      <c r="FL17" s="2490"/>
      <c r="FM17" s="2490"/>
      <c r="FN17" s="2490"/>
      <c r="FO17" s="2490"/>
      <c r="FP17" s="2490"/>
      <c r="FQ17" s="2490"/>
      <c r="FR17" s="2490"/>
      <c r="FS17" s="2490"/>
      <c r="FT17" s="2490"/>
      <c r="FU17" s="2490"/>
      <c r="FV17" s="2490"/>
      <c r="FW17" s="2505"/>
      <c r="FX17" s="818"/>
      <c r="GC17" s="982">
        <v>15</v>
      </c>
    </row>
    <row s="12811" customFormat="1" customHeight="1" ht="12" hidden="1">
      <c r="B18" s="979"/>
      <c r="E18" s="995"/>
      <c r="F18" s="1248"/>
      <c r="G18" s="1248"/>
      <c r="H18" s="1248"/>
      <c r="I18" s="1248"/>
      <c r="J18" s="1249"/>
      <c r="K18" s="1249"/>
      <c r="L18" s="1249"/>
      <c r="M18" s="1249"/>
      <c r="N18" s="1249"/>
      <c r="O18" s="1248"/>
      <c r="P18" s="1248"/>
      <c r="Q18" s="1248"/>
      <c r="R18" s="1248"/>
      <c r="S18" s="1248"/>
      <c r="T18" s="1248"/>
      <c r="U18" s="1250"/>
      <c r="V18" s="1250"/>
      <c r="W18" s="1250"/>
      <c r="X18" s="1250"/>
      <c r="Y18" s="1250"/>
      <c r="Z18" s="1250"/>
      <c r="AA18" s="1250"/>
      <c r="AB18" s="1248"/>
      <c r="AC18" s="1249"/>
      <c r="AD18" s="1249"/>
      <c r="AE18" s="1249"/>
      <c r="AF18" s="1249"/>
      <c r="AG18" s="1249"/>
      <c r="AH18" s="1249"/>
      <c r="AI18" s="1249"/>
      <c r="AJ18" s="1249"/>
      <c r="AK18" s="1249"/>
      <c r="AL18" s="1249"/>
      <c r="AM18" s="1249"/>
      <c r="AN18" s="1249"/>
      <c r="AO18" s="1249"/>
      <c r="AP18" s="1249"/>
      <c r="AQ18" s="1249"/>
      <c r="AR18" s="1249"/>
      <c r="AS18" s="1249"/>
      <c r="AT18" s="1249"/>
      <c r="AU18" s="1249"/>
      <c r="AV18" s="1249"/>
      <c r="AW18" s="1249"/>
      <c r="AX18" s="1249"/>
      <c r="AY18" s="1249"/>
      <c r="AZ18" s="1249"/>
      <c r="BA18" s="1249"/>
      <c r="BB18" s="1249"/>
      <c r="BC18" s="1249"/>
      <c r="BD18" s="1249"/>
      <c r="BE18" s="1249"/>
      <c r="BF18" s="1249"/>
      <c r="BG18" s="1249"/>
      <c r="BH18" s="1249"/>
      <c r="BI18" s="1249"/>
      <c r="BJ18" s="1249"/>
      <c r="BK18" s="1249"/>
      <c r="BL18" s="1249"/>
      <c r="BM18" s="1249"/>
      <c r="BN18" s="1249"/>
      <c r="BO18" s="1249"/>
      <c r="BP18" s="1249"/>
      <c r="BQ18" s="1249"/>
      <c r="BR18" s="1249"/>
      <c r="BS18" s="1249"/>
      <c r="BT18" s="1251"/>
      <c r="BU18" s="1251"/>
      <c r="BV18" s="1251"/>
      <c r="BW18" s="1251"/>
      <c r="BX18" s="1251"/>
      <c r="BY18" s="1251"/>
      <c r="BZ18" s="1251"/>
      <c r="CA18" s="1251"/>
      <c r="CB18" s="1251"/>
      <c r="CC18" s="1251"/>
      <c r="CD18" s="1251"/>
      <c r="CE18" s="1251"/>
      <c r="CF18" s="1251"/>
      <c r="CG18" s="1251"/>
      <c r="CH18" s="1251"/>
      <c r="CI18" s="1251"/>
      <c r="CJ18" s="1251"/>
      <c r="CK18" s="1251"/>
      <c r="CL18" s="1249"/>
      <c r="CM18" s="1249"/>
      <c r="CN18" s="1249"/>
      <c r="CO18" s="1249"/>
      <c r="CP18" s="1249"/>
      <c r="CQ18" s="1249"/>
      <c r="CR18" s="1249"/>
      <c r="CS18" s="1249"/>
      <c r="CT18" s="1249"/>
      <c r="CU18" s="1249"/>
      <c r="CV18" s="1249"/>
      <c r="CW18" s="1249"/>
      <c r="CX18" s="1249"/>
      <c r="CY18" s="1251"/>
      <c r="CZ18" s="1251"/>
      <c r="DA18" s="1251"/>
      <c r="DB18" s="1251"/>
      <c r="DC18" s="1251"/>
      <c r="DD18" s="1251"/>
      <c r="DE18" s="1251"/>
      <c r="DF18" s="1251"/>
      <c r="DG18" s="1251"/>
      <c r="DH18" s="1251"/>
      <c r="DI18" s="1251"/>
      <c r="DJ18" s="1251"/>
      <c r="DK18" s="1249"/>
      <c r="DL18" s="1249"/>
      <c r="DM18" s="1249"/>
      <c r="DN18" s="1249"/>
      <c r="DO18" s="1249"/>
      <c r="DP18" s="1249"/>
      <c r="DQ18" s="1249"/>
      <c r="DR18" s="1249"/>
      <c r="DS18" s="1249"/>
      <c r="DT18" s="1249"/>
      <c r="DU18" s="1249"/>
      <c r="DV18" s="1249"/>
      <c r="DW18" s="1249"/>
      <c r="DX18" s="1249"/>
      <c r="DY18" s="1249"/>
      <c r="DZ18" s="1249"/>
      <c r="EA18" s="1249"/>
      <c r="EB18" s="1249"/>
      <c r="EC18" s="1249"/>
      <c r="ED18" s="1249"/>
      <c r="EE18" s="1249"/>
      <c r="EF18" s="1249"/>
      <c r="EG18" s="1249"/>
      <c r="EH18" s="1249"/>
      <c r="EI18" s="1249"/>
      <c r="EJ18" s="1249"/>
      <c r="EK18" s="1249"/>
      <c r="EL18" s="1249"/>
      <c r="EM18" s="1249"/>
      <c r="EN18" s="1249"/>
      <c r="EO18" s="1249"/>
      <c r="EP18" s="1249"/>
      <c r="EQ18" s="1249"/>
      <c r="ER18" s="1249"/>
      <c r="ES18" s="1249"/>
      <c r="ET18" s="1249"/>
      <c r="EU18" s="1249"/>
      <c r="EV18" s="1249"/>
      <c r="EW18" s="1249"/>
      <c r="EX18" s="1249"/>
      <c r="EY18" s="1249"/>
      <c r="EZ18" s="1249"/>
      <c r="FA18" s="1249"/>
      <c r="FB18" s="1249"/>
      <c r="FC18" s="1249"/>
      <c r="FD18" s="1249"/>
      <c r="FE18" s="1249"/>
      <c r="FF18" s="1249"/>
      <c r="FG18" s="1249"/>
      <c r="FH18" s="1249"/>
      <c r="FI18" s="1249"/>
      <c r="FJ18" s="1249"/>
      <c r="FK18" s="1249"/>
      <c r="FL18" s="1249"/>
      <c r="FM18" s="1249"/>
      <c r="FN18" s="1249"/>
      <c r="FO18" s="1249"/>
      <c r="FP18" s="1249"/>
      <c r="FQ18" s="1249"/>
      <c r="FR18" s="1249"/>
      <c r="FS18" s="1249"/>
      <c r="FT18" s="1249"/>
      <c r="FU18" s="1249"/>
      <c r="FV18" s="1249"/>
      <c r="FW18" s="1248"/>
      <c r="FX18" s="1252"/>
      <c r="GC18" s="980">
        <v>0</v>
      </c>
    </row>
    <row s="12811" customFormat="1" customHeight="1" ht="11.25" hidden="1">
      <c r="B19" s="979"/>
      <c r="E19" s="995"/>
      <c r="F19" s="1248"/>
      <c r="G19" s="1248"/>
      <c r="H19" s="1248"/>
      <c r="I19" s="1248"/>
      <c r="J19" s="1248"/>
      <c r="K19" s="1248"/>
      <c r="L19" s="1248"/>
      <c r="M19" s="1248"/>
      <c r="N19" s="1248"/>
      <c r="O19" s="1248"/>
      <c r="P19" s="1248"/>
      <c r="Q19" s="1248"/>
      <c r="R19" s="1248"/>
      <c r="S19" s="1248"/>
      <c r="T19" s="1248"/>
      <c r="U19" s="1250"/>
      <c r="V19" s="1250"/>
      <c r="W19" s="1250"/>
      <c r="X19" s="1250"/>
      <c r="Y19" s="1250"/>
      <c r="Z19" s="1250"/>
      <c r="AA19" s="1250"/>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c r="BY19" s="1248"/>
      <c r="BZ19" s="1248"/>
      <c r="CA19" s="1248"/>
      <c r="CB19" s="1248"/>
      <c r="CC19" s="1248"/>
      <c r="CD19" s="1248"/>
      <c r="CE19" s="1248"/>
      <c r="CF19" s="1248"/>
      <c r="CG19" s="1248"/>
      <c r="CH19" s="1248"/>
      <c r="CI19" s="1248"/>
      <c r="CJ19" s="1248"/>
      <c r="CK19" s="1248"/>
      <c r="CL19" s="1248"/>
      <c r="CM19" s="1248"/>
      <c r="CN19" s="1248"/>
      <c r="CO19" s="1248"/>
      <c r="CP19" s="1248"/>
      <c r="CQ19" s="1248"/>
      <c r="CR19" s="1248"/>
      <c r="CS19" s="1248"/>
      <c r="CT19" s="1248"/>
      <c r="CU19" s="1248"/>
      <c r="CV19" s="1248"/>
      <c r="CW19" s="1248"/>
      <c r="CX19" s="1248"/>
      <c r="CY19" s="1248"/>
      <c r="CZ19" s="1248"/>
      <c r="DA19" s="1248"/>
      <c r="DB19" s="1248"/>
      <c r="DC19" s="1248"/>
      <c r="DD19" s="1248"/>
      <c r="DE19" s="1248"/>
      <c r="DF19" s="1248"/>
      <c r="DG19" s="1248"/>
      <c r="DH19" s="1248"/>
      <c r="DI19" s="1248"/>
      <c r="DJ19" s="1248"/>
      <c r="DK19" s="1248"/>
      <c r="DL19" s="1248"/>
      <c r="DM19" s="1248"/>
      <c r="DN19" s="1248"/>
      <c r="DO19" s="1248"/>
      <c r="DP19" s="1248"/>
      <c r="DQ19" s="1248"/>
      <c r="DR19" s="1248"/>
      <c r="DS19" s="1248"/>
      <c r="DT19" s="1248"/>
      <c r="DU19" s="1248"/>
      <c r="DV19" s="1248"/>
      <c r="DW19" s="1248"/>
      <c r="DX19" s="1248"/>
      <c r="DY19" s="1248"/>
      <c r="DZ19" s="1248"/>
      <c r="EA19" s="1248"/>
      <c r="EB19" s="1248"/>
      <c r="EC19" s="1248"/>
      <c r="ED19" s="1248"/>
      <c r="EE19" s="1248"/>
      <c r="EF19" s="1248"/>
      <c r="EG19" s="1248"/>
      <c r="EH19" s="1248"/>
      <c r="EI19" s="1248"/>
      <c r="EJ19" s="1248"/>
      <c r="EK19" s="1248"/>
      <c r="EL19" s="1248"/>
      <c r="EM19" s="1248"/>
      <c r="EN19" s="1248"/>
      <c r="EO19" s="1248"/>
      <c r="EP19" s="1248"/>
      <c r="EQ19" s="1248"/>
      <c r="ER19" s="1248"/>
      <c r="ES19" s="1248"/>
      <c r="ET19" s="1248"/>
      <c r="EU19" s="1248"/>
      <c r="EV19" s="1248"/>
      <c r="EW19" s="1248"/>
      <c r="EX19" s="1248"/>
      <c r="EY19" s="1248"/>
      <c r="EZ19" s="1248"/>
      <c r="FA19" s="1248"/>
      <c r="FB19" s="1248"/>
      <c r="FC19" s="1248"/>
      <c r="FD19" s="1248"/>
      <c r="FE19" s="1248"/>
      <c r="FF19" s="1248"/>
      <c r="FG19" s="1248"/>
      <c r="FH19" s="1248"/>
      <c r="FI19" s="1248"/>
      <c r="FJ19" s="1248"/>
      <c r="FK19" s="1248"/>
      <c r="FL19" s="1248"/>
      <c r="FM19" s="1248"/>
      <c r="FN19" s="1248"/>
      <c r="FO19" s="1248"/>
      <c r="FP19" s="1248"/>
      <c r="FQ19" s="1248"/>
      <c r="FR19" s="1248"/>
      <c r="FS19" s="1248"/>
      <c r="FT19" s="1248"/>
      <c r="FU19" s="1248"/>
      <c r="FV19" s="1248"/>
      <c r="FW19" s="1248"/>
      <c r="FX19" s="1252"/>
      <c r="GC19" s="980">
        <v>0</v>
      </c>
    </row>
    <row s="12811" customFormat="1" customHeight="1" ht="11.25" hidden="1">
      <c r="B20" s="996"/>
      <c r="D20" s="980"/>
      <c r="E20" s="995"/>
      <c r="F20" s="1253" t="s">
        <v>508</v>
      </c>
      <c r="G20" s="1254"/>
      <c r="H20" s="1255"/>
      <c r="I20" s="1255"/>
      <c r="J20" s="1255"/>
      <c r="K20" s="1255"/>
      <c r="L20" s="1255"/>
      <c r="M20" s="1255"/>
      <c r="N20" s="1255"/>
      <c r="O20" s="1254"/>
      <c r="P20" s="1254"/>
      <c r="Q20" s="1254"/>
      <c r="R20" s="1254"/>
      <c r="S20" s="1254"/>
      <c r="T20" s="1254"/>
      <c r="U20" s="1256"/>
      <c r="V20" s="1256"/>
      <c r="W20" s="1256"/>
      <c r="X20" s="1256"/>
      <c r="Y20" s="1256"/>
      <c r="Z20" s="1256"/>
      <c r="AA20" s="1256"/>
      <c r="AB20" s="1254"/>
      <c r="AC20" s="1255"/>
      <c r="AD20" s="1255"/>
      <c r="AE20" s="1255"/>
      <c r="AF20" s="1255"/>
      <c r="AG20" s="1255"/>
      <c r="AH20" s="1255"/>
      <c r="AI20" s="1255"/>
      <c r="AJ20" s="1255"/>
      <c r="AK20" s="1255"/>
      <c r="AL20" s="1255"/>
      <c r="AM20" s="1255"/>
      <c r="AN20" s="1255"/>
      <c r="AO20" s="1255"/>
      <c r="AP20" s="1255"/>
      <c r="AQ20" s="1255"/>
      <c r="AR20" s="1255"/>
      <c r="AS20" s="1255"/>
      <c r="AT20" s="1255"/>
      <c r="AU20" s="1255"/>
      <c r="AV20" s="1255"/>
      <c r="AW20" s="1255"/>
      <c r="AX20" s="1255"/>
      <c r="AY20" s="1255"/>
      <c r="AZ20" s="1255"/>
      <c r="BA20" s="1255"/>
      <c r="BB20" s="1255"/>
      <c r="BC20" s="1255"/>
      <c r="BD20" s="1255"/>
      <c r="BE20" s="1255"/>
      <c r="BF20" s="1255"/>
      <c r="BG20" s="1255"/>
      <c r="BH20" s="1255"/>
      <c r="BI20" s="1255"/>
      <c r="BJ20" s="1255"/>
      <c r="BK20" s="1255"/>
      <c r="BL20" s="1255"/>
      <c r="BM20" s="1255"/>
      <c r="BN20" s="1255"/>
      <c r="BO20" s="1255"/>
      <c r="BP20" s="1255"/>
      <c r="BQ20" s="1255"/>
      <c r="BR20" s="1255"/>
      <c r="BS20" s="1255"/>
      <c r="BT20" s="1255"/>
      <c r="BU20" s="1255"/>
      <c r="BV20" s="1255"/>
      <c r="BW20" s="1255"/>
      <c r="BX20" s="1255"/>
      <c r="BY20" s="1255"/>
      <c r="BZ20" s="1255"/>
      <c r="CA20" s="1255"/>
      <c r="CB20" s="1255"/>
      <c r="CC20" s="1255"/>
      <c r="CD20" s="1255"/>
      <c r="CE20" s="1255"/>
      <c r="CF20" s="1255"/>
      <c r="CG20" s="1255"/>
      <c r="CH20" s="1255"/>
      <c r="CI20" s="1255"/>
      <c r="CJ20" s="1255"/>
      <c r="CK20" s="1255"/>
      <c r="CL20" s="1257"/>
      <c r="CM20" s="1257"/>
      <c r="CN20" s="1257"/>
      <c r="CO20" s="1257"/>
      <c r="CP20" s="1257"/>
      <c r="CQ20" s="1257"/>
      <c r="CR20" s="1257"/>
      <c r="CS20" s="1257"/>
      <c r="CT20" s="1257"/>
      <c r="CU20" s="1257"/>
      <c r="CV20" s="1257"/>
      <c r="CW20" s="1257"/>
      <c r="CX20" s="1257"/>
      <c r="CY20" s="1257"/>
      <c r="CZ20" s="1257"/>
      <c r="DA20" s="1257"/>
      <c r="DB20" s="1257"/>
      <c r="DC20" s="1257"/>
      <c r="DD20" s="1257"/>
      <c r="DE20" s="1257"/>
      <c r="DF20" s="1257"/>
      <c r="DG20" s="1257"/>
      <c r="DH20" s="1257"/>
      <c r="DI20" s="1257"/>
      <c r="DJ20" s="1257"/>
      <c r="DK20" s="1257"/>
      <c r="DL20" s="1257"/>
      <c r="DM20" s="1257"/>
      <c r="DN20" s="1257"/>
      <c r="DO20" s="1257"/>
      <c r="DP20" s="1257"/>
      <c r="DQ20" s="1257"/>
      <c r="DR20" s="1257"/>
      <c r="DS20" s="1257"/>
      <c r="DT20" s="1257"/>
      <c r="DU20" s="1257"/>
      <c r="DV20" s="1257"/>
      <c r="DW20" s="1257"/>
      <c r="DX20" s="1257"/>
      <c r="DY20" s="1257"/>
      <c r="DZ20" s="1257"/>
      <c r="EA20" s="1257"/>
      <c r="EB20" s="1257"/>
      <c r="EC20" s="1257"/>
      <c r="ED20" s="1257"/>
      <c r="EE20" s="1257"/>
      <c r="EF20" s="1257"/>
      <c r="EG20" s="1257"/>
      <c r="EH20" s="1257"/>
      <c r="EI20" s="1257"/>
      <c r="EJ20" s="1257"/>
      <c r="EK20" s="1257"/>
      <c r="EL20" s="1257"/>
      <c r="EM20" s="1257"/>
      <c r="EN20" s="1257"/>
      <c r="EO20" s="1257"/>
      <c r="EP20" s="1257"/>
      <c r="EQ20" s="1257"/>
      <c r="ER20" s="1257"/>
      <c r="ES20" s="1257"/>
      <c r="ET20" s="1257"/>
      <c r="EU20" s="1257"/>
      <c r="EV20" s="1257"/>
      <c r="EW20" s="1257"/>
      <c r="EX20" s="1257"/>
      <c r="EY20" s="1257"/>
      <c r="EZ20" s="1257"/>
      <c r="FA20" s="1257"/>
      <c r="FB20" s="1257"/>
      <c r="FC20" s="1257"/>
      <c r="FD20" s="1257"/>
      <c r="FE20" s="1257"/>
      <c r="FF20" s="1257"/>
      <c r="FG20" s="1257"/>
      <c r="FH20" s="1257"/>
      <c r="FI20" s="1257"/>
      <c r="FJ20" s="1257"/>
      <c r="FK20" s="1257"/>
      <c r="FL20" s="1257"/>
      <c r="FM20" s="1257"/>
      <c r="FN20" s="1257"/>
      <c r="FO20" s="1257"/>
      <c r="FP20" s="1257"/>
      <c r="FQ20" s="1257"/>
      <c r="FR20" s="1257"/>
      <c r="FS20" s="1257"/>
      <c r="FT20" s="1257"/>
      <c r="FU20" s="1257"/>
      <c r="FV20" s="1257"/>
      <c r="FW20" s="1257"/>
      <c r="FX20" s="1258"/>
      <c r="GC20" s="978">
        <v>0</v>
      </c>
    </row>
    <row s="12811" customFormat="1" customHeight="1" ht="12.75">
      <c r="A21" s="997"/>
      <c r="B21" s="997"/>
      <c r="C21" s="997"/>
      <c r="D21" s="997"/>
      <c r="E21" s="997"/>
      <c r="F21" s="995"/>
      <c r="G21" s="995"/>
      <c r="H21" s="995"/>
      <c r="I21" s="995"/>
      <c r="J21" s="995"/>
      <c r="K21" s="995"/>
      <c r="L21" s="995"/>
      <c r="M21" s="995"/>
      <c r="N21" s="995"/>
      <c r="O21" s="995"/>
      <c r="P21" s="995"/>
      <c r="Q21" s="995"/>
      <c r="R21" s="995"/>
      <c r="S21" s="998"/>
      <c r="T21" s="998"/>
      <c r="U21" s="995"/>
      <c r="V21" s="995"/>
      <c r="W21" s="995"/>
      <c r="X21" s="995"/>
      <c r="Y21" s="995"/>
      <c r="Z21" s="995"/>
      <c r="AA21" s="995"/>
      <c r="AB21" s="995"/>
      <c r="AC21" s="995"/>
      <c r="AD21" s="995"/>
      <c r="AE21" s="995"/>
      <c r="AF21" s="995"/>
      <c r="AG21" s="995"/>
      <c r="AH21" s="995"/>
      <c r="AI21" s="995"/>
      <c r="AJ21" s="995"/>
      <c r="AK21" s="995"/>
      <c r="AL21" s="995"/>
      <c r="AM21" s="995"/>
      <c r="AN21" s="995"/>
      <c r="AO21" s="995"/>
      <c r="AP21" s="995"/>
      <c r="AQ21" s="995"/>
      <c r="AR21" s="995"/>
      <c r="AS21" s="995"/>
      <c r="AT21" s="995"/>
      <c r="AU21" s="995"/>
      <c r="AV21" s="995"/>
      <c r="AW21" s="995"/>
      <c r="AX21" s="995"/>
      <c r="AY21" s="995"/>
      <c r="AZ21" s="995"/>
      <c r="BA21" s="995"/>
      <c r="BB21" s="995"/>
      <c r="BC21" s="995"/>
      <c r="BD21" s="995"/>
      <c r="BE21" s="995"/>
      <c r="BF21" s="995"/>
      <c r="BG21" s="995"/>
      <c r="BH21" s="995"/>
      <c r="BI21" s="995"/>
      <c r="BJ21" s="995"/>
      <c r="BK21" s="995"/>
      <c r="BL21" s="995"/>
      <c r="BM21" s="995"/>
      <c r="BN21" s="995"/>
      <c r="BO21" s="995"/>
      <c r="BP21" s="995"/>
      <c r="BQ21" s="995"/>
      <c r="BR21" s="995"/>
      <c r="BS21" s="995"/>
      <c r="BT21" s="995"/>
      <c r="BU21" s="995"/>
      <c r="BV21" s="995"/>
      <c r="BW21" s="995"/>
      <c r="BX21" s="995"/>
      <c r="BY21" s="995"/>
      <c r="BZ21" s="995"/>
      <c r="CA21" s="995"/>
      <c r="CB21" s="995"/>
      <c r="CC21" s="995"/>
      <c r="CD21" s="995"/>
      <c r="CE21" s="995"/>
      <c r="CF21" s="995"/>
      <c r="CG21" s="995"/>
      <c r="CH21" s="995"/>
      <c r="CI21" s="995"/>
      <c r="CJ21" s="995"/>
      <c r="CK21" s="995"/>
      <c r="CL21" s="995"/>
      <c r="CM21" s="995"/>
      <c r="CN21" s="995"/>
      <c r="CO21" s="995"/>
      <c r="CP21" s="995"/>
      <c r="CQ21" s="995"/>
      <c r="CR21" s="995"/>
      <c r="CS21" s="995"/>
      <c r="CT21" s="995"/>
      <c r="CU21" s="995"/>
      <c r="CV21" s="995"/>
      <c r="CW21" s="995"/>
      <c r="CX21" s="995"/>
      <c r="CY21" s="995"/>
      <c r="CZ21" s="995"/>
      <c r="DA21" s="995"/>
      <c r="DB21" s="995"/>
      <c r="DC21" s="995"/>
      <c r="DD21" s="995"/>
      <c r="DE21" s="995"/>
      <c r="DF21" s="995"/>
      <c r="DG21" s="995"/>
      <c r="DH21" s="995"/>
      <c r="DI21" s="995"/>
      <c r="DJ21" s="995"/>
      <c r="DK21" s="995"/>
      <c r="DL21" s="995"/>
      <c r="DM21" s="995"/>
      <c r="DN21" s="995"/>
      <c r="DO21" s="995"/>
      <c r="DP21" s="995"/>
      <c r="DQ21" s="995"/>
      <c r="DR21" s="995"/>
      <c r="DS21" s="995"/>
      <c r="DT21" s="995"/>
      <c r="DU21" s="995"/>
      <c r="DV21" s="995"/>
      <c r="DW21" s="995"/>
      <c r="DX21" s="995"/>
      <c r="DY21" s="995"/>
      <c r="DZ21" s="995"/>
      <c r="EA21" s="995"/>
      <c r="EB21" s="995"/>
      <c r="EC21" s="995"/>
      <c r="ED21" s="995"/>
      <c r="EE21" s="995"/>
      <c r="EF21" s="995"/>
      <c r="EG21" s="995"/>
      <c r="EH21" s="995"/>
      <c r="EI21" s="995"/>
      <c r="EJ21" s="995"/>
      <c r="EK21" s="995"/>
      <c r="EL21" s="995"/>
      <c r="EM21" s="995"/>
      <c r="EN21" s="995"/>
      <c r="EO21" s="995"/>
      <c r="EP21" s="995"/>
      <c r="EQ21" s="995"/>
      <c r="ER21" s="995"/>
      <c r="ES21" s="995"/>
      <c r="ET21" s="995"/>
      <c r="EU21" s="995"/>
      <c r="EV21" s="995"/>
      <c r="EW21" s="995"/>
      <c r="EX21" s="995"/>
      <c r="EY21" s="995"/>
      <c r="EZ21" s="995"/>
      <c r="FA21" s="995"/>
      <c r="FB21" s="995"/>
      <c r="FC21" s="995"/>
      <c r="FD21" s="995"/>
      <c r="FE21" s="995"/>
      <c r="FF21" s="995"/>
      <c r="FG21" s="995"/>
      <c r="FH21" s="995"/>
      <c r="FI21" s="995"/>
      <c r="FJ21" s="995"/>
      <c r="FK21" s="995"/>
      <c r="FL21" s="995"/>
      <c r="FM21" s="995"/>
      <c r="FN21" s="995"/>
      <c r="FO21" s="995"/>
      <c r="FP21" s="995"/>
      <c r="FQ21" s="995"/>
      <c r="FR21" s="995"/>
      <c r="FS21" s="995"/>
      <c r="FT21" s="995"/>
      <c r="FU21" s="995"/>
      <c r="FV21" s="995"/>
      <c r="FW21" s="995"/>
      <c r="FX21" s="997"/>
      <c r="FY21" s="997"/>
      <c r="FZ21" s="997"/>
      <c r="GA21" s="997"/>
      <c r="GB21" s="997"/>
      <c r="GC21" s="978">
        <v>12</v>
      </c>
    </row>
    <row s="12811" customFormat="1" customHeight="1" ht="12.75">
      <c r="A22" s="997"/>
      <c r="B22" s="997"/>
      <c r="C22" s="997"/>
      <c r="D22" s="997"/>
      <c r="E22" s="997"/>
      <c r="FX22" s="997"/>
      <c r="FY22" s="997"/>
      <c r="FZ22" s="997"/>
      <c r="GA22" s="997"/>
      <c r="GB22" s="997"/>
      <c r="GC22" s="978">
        <v>12</v>
      </c>
    </row>
    <row s="12876" customFormat="1" customHeight="1" ht="12.75">
      <c r="A23" s="1118"/>
      <c r="B23" s="1118"/>
      <c r="C23" s="1118"/>
      <c r="D23" s="1118"/>
      <c r="E23" s="1118"/>
      <c r="O23" s="1120"/>
      <c r="P23" s="1120"/>
      <c r="Q23" s="1120"/>
      <c r="R23" s="1120"/>
      <c r="S23" s="1120"/>
      <c r="T23" s="1120"/>
      <c r="U23" s="1120"/>
      <c r="V23" s="1120"/>
      <c r="W23" s="1120"/>
      <c r="X23" s="1120"/>
      <c r="Y23" s="1120"/>
      <c r="Z23" s="1120"/>
      <c r="AA23" s="1120"/>
      <c r="AB23" s="1120"/>
      <c r="AC23" s="1120"/>
      <c r="AD23" s="1120"/>
      <c r="AE23" s="1120"/>
      <c r="AF23" s="1120"/>
      <c r="AG23" s="1120"/>
      <c r="AH23" s="1120"/>
      <c r="AI23" s="1120"/>
      <c r="AJ23" s="1120"/>
      <c r="AK23" s="1120"/>
      <c r="AL23" s="1120"/>
      <c r="AM23" s="1120"/>
      <c r="AN23" s="1120"/>
      <c r="AO23" s="1120"/>
      <c r="AP23" s="1120"/>
      <c r="AQ23" s="1120"/>
      <c r="AR23" s="1120"/>
      <c r="AS23" s="1120"/>
      <c r="AT23" s="1120"/>
      <c r="AU23" s="1120"/>
      <c r="AV23" s="1120"/>
      <c r="AW23" s="1120"/>
      <c r="AX23" s="1120"/>
      <c r="AY23" s="1120"/>
      <c r="AZ23" s="1120"/>
      <c r="BA23" s="1120"/>
      <c r="BB23" s="1120"/>
      <c r="BC23" s="1120"/>
      <c r="BD23" s="1120"/>
      <c r="BE23" s="1120"/>
      <c r="BF23" s="1120"/>
      <c r="BG23" s="1120"/>
      <c r="BH23" s="1120"/>
      <c r="BI23" s="1120"/>
      <c r="BJ23" s="1120"/>
      <c r="BK23" s="1120"/>
      <c r="BL23" s="1120"/>
      <c r="BM23" s="1120"/>
      <c r="BN23" s="1120"/>
      <c r="BO23" s="1120"/>
      <c r="BP23" s="1120"/>
      <c r="BQ23" s="1120"/>
      <c r="BR23" s="1120"/>
      <c r="BS23" s="1120"/>
      <c r="BT23" s="1121"/>
      <c r="BU23" s="1121"/>
      <c r="BV23" s="1121"/>
      <c r="BW23" s="1121"/>
      <c r="BX23" s="1121"/>
      <c r="BY23" s="1121"/>
      <c r="BZ23" s="1121"/>
      <c r="CA23" s="1121"/>
      <c r="CB23" s="1121"/>
      <c r="CC23" s="1121"/>
      <c r="CD23" s="1121"/>
      <c r="CE23" s="1121"/>
      <c r="CF23" s="1121"/>
      <c r="CG23" s="1121"/>
      <c r="CH23" s="1121"/>
      <c r="CI23" s="1121"/>
      <c r="CJ23" s="1121"/>
      <c r="CK23" s="1121"/>
      <c r="CL23" s="1121"/>
      <c r="CM23" s="1121"/>
      <c r="CN23" s="1121"/>
      <c r="CO23" s="1121"/>
      <c r="CP23" s="1121"/>
      <c r="CQ23" s="1121"/>
      <c r="CR23" s="1121"/>
      <c r="CS23" s="1121"/>
      <c r="CT23" s="1121"/>
      <c r="CU23" s="1121"/>
      <c r="CV23" s="1121"/>
      <c r="CW23" s="1121"/>
      <c r="CX23" s="1121"/>
      <c r="CY23" s="1121"/>
      <c r="CZ23" s="1121"/>
      <c r="DA23" s="1121"/>
      <c r="DB23" s="1121"/>
      <c r="DC23" s="1121"/>
      <c r="DD23" s="1121"/>
      <c r="DE23" s="1121"/>
      <c r="DF23" s="1121"/>
      <c r="DG23" s="1121"/>
      <c r="DH23" s="1121"/>
      <c r="DI23" s="1121"/>
      <c r="DJ23" s="1121"/>
      <c r="DK23" s="1121"/>
      <c r="DL23" s="1121"/>
      <c r="DM23" s="1121"/>
      <c r="DN23" s="1121"/>
      <c r="DO23" s="1121"/>
      <c r="DP23" s="1121"/>
      <c r="DQ23" s="1121"/>
      <c r="DR23" s="1121"/>
      <c r="DS23" s="1121"/>
      <c r="DT23" s="1121"/>
      <c r="DU23" s="1121"/>
      <c r="DV23" s="1121"/>
      <c r="DW23" s="1121"/>
      <c r="DX23" s="1121"/>
      <c r="FX23" s="1118"/>
      <c r="FY23" s="1118"/>
      <c r="FZ23" s="1118"/>
      <c r="GA23" s="1118"/>
      <c r="GB23" s="1118"/>
      <c r="GC23" s="1119">
        <v>12</v>
      </c>
    </row>
    <row customHeight="1" ht="12.75">
      <c r="S24" s="994"/>
      <c r="T24" s="994"/>
      <c r="U24" s="994"/>
      <c r="V24" s="994"/>
      <c r="W24" s="994"/>
      <c r="X24" s="994"/>
      <c r="Y24" s="994"/>
      <c r="Z24" s="994"/>
      <c r="AA24" s="994"/>
      <c r="AB24" s="994"/>
      <c r="FX24" s="994"/>
      <c r="FY24" s="994"/>
      <c r="FZ24" s="994"/>
      <c r="GA24" s="994"/>
      <c r="GB24" s="994"/>
      <c r="GC24" s="982">
        <v>12</v>
      </c>
    </row>
    <row customHeight="1" ht="12" hidden="1">
      <c r="A25" s="982" t="s">
        <v>86</v>
      </c>
      <c r="B25" s="992">
        <v>0</v>
      </c>
      <c r="C25" s="982">
        <v>0</v>
      </c>
      <c r="D25" s="982">
        <v>0</v>
      </c>
      <c r="E25" s="982">
        <v>3</v>
      </c>
      <c r="F25" s="982">
        <v>6</v>
      </c>
      <c r="G25" s="982">
        <v>18</v>
      </c>
      <c r="H25" s="982">
        <v>27</v>
      </c>
      <c r="I25" s="982">
        <v>18</v>
      </c>
      <c r="J25" s="982">
        <v>0</v>
      </c>
      <c r="K25" s="982">
        <v>0</v>
      </c>
      <c r="L25" s="982">
        <v>0</v>
      </c>
      <c r="M25" s="982">
        <v>0</v>
      </c>
      <c r="N25" s="982">
        <v>0</v>
      </c>
      <c r="O25" s="982">
        <v>0</v>
      </c>
      <c r="P25" s="982">
        <v>0</v>
      </c>
      <c r="Q25" s="982">
        <v>0</v>
      </c>
      <c r="R25" s="982">
        <v>0</v>
      </c>
      <c r="S25" s="982">
        <v>0</v>
      </c>
      <c r="T25" s="982">
        <v>0</v>
      </c>
      <c r="U25" s="982">
        <v>0</v>
      </c>
      <c r="V25" s="982">
        <v>0</v>
      </c>
      <c r="W25" s="982">
        <v>0</v>
      </c>
      <c r="X25" s="982">
        <v>0</v>
      </c>
      <c r="Y25" s="982">
        <v>0</v>
      </c>
      <c r="Z25" s="982">
        <v>0</v>
      </c>
      <c r="AA25" s="982">
        <v>0</v>
      </c>
      <c r="AB25" s="982">
        <v>0</v>
      </c>
      <c r="AC25" s="982">
        <v>0</v>
      </c>
      <c r="AD25" s="982">
        <v>0</v>
      </c>
      <c r="AE25" s="982">
        <v>0</v>
      </c>
      <c r="AF25" s="982">
        <v>0</v>
      </c>
      <c r="AG25" s="982">
        <v>0</v>
      </c>
      <c r="AH25" s="982">
        <v>0</v>
      </c>
      <c r="AI25" s="982">
        <v>0</v>
      </c>
      <c r="AJ25" s="982">
        <v>0</v>
      </c>
      <c r="AK25" s="982">
        <v>0</v>
      </c>
      <c r="AL25" s="982">
        <v>0</v>
      </c>
      <c r="AM25" s="982">
        <v>0</v>
      </c>
      <c r="AN25" s="982">
        <v>0</v>
      </c>
      <c r="AO25" s="982">
        <v>0</v>
      </c>
      <c r="AP25" s="982">
        <v>0</v>
      </c>
      <c r="AQ25" s="982">
        <v>0</v>
      </c>
      <c r="AR25" s="982">
        <v>0</v>
      </c>
      <c r="AS25" s="982">
        <v>0</v>
      </c>
      <c r="AT25" s="982">
        <v>0</v>
      </c>
      <c r="AU25" s="982">
        <v>0</v>
      </c>
      <c r="AV25" s="982">
        <v>0</v>
      </c>
      <c r="AW25" s="982">
        <v>0</v>
      </c>
      <c r="AX25" s="982">
        <v>0</v>
      </c>
      <c r="AY25" s="982">
        <v>0</v>
      </c>
      <c r="AZ25" s="982">
        <v>0</v>
      </c>
      <c r="BA25" s="982">
        <v>0</v>
      </c>
      <c r="BB25" s="982">
        <v>0</v>
      </c>
      <c r="BC25" s="982">
        <v>0</v>
      </c>
      <c r="BD25" s="982">
        <v>0</v>
      </c>
      <c r="BE25" s="982">
        <v>0</v>
      </c>
      <c r="BF25" s="982">
        <v>0</v>
      </c>
      <c r="BG25" s="982">
        <v>0</v>
      </c>
      <c r="BH25" s="982">
        <v>0</v>
      </c>
      <c r="BI25" s="982">
        <v>0</v>
      </c>
      <c r="BJ25" s="982">
        <v>0</v>
      </c>
      <c r="BK25" s="982">
        <v>0</v>
      </c>
      <c r="BL25" s="982">
        <v>0</v>
      </c>
      <c r="BM25" s="982">
        <v>0</v>
      </c>
      <c r="BN25" s="982">
        <v>0</v>
      </c>
      <c r="BO25" s="982">
        <v>0</v>
      </c>
      <c r="BP25" s="982">
        <v>0</v>
      </c>
      <c r="BQ25" s="982">
        <v>0</v>
      </c>
      <c r="BR25" s="982">
        <v>0</v>
      </c>
      <c r="BS25" s="982">
        <v>0</v>
      </c>
      <c r="BT25" s="982">
        <v>0</v>
      </c>
      <c r="BU25" s="982">
        <v>0</v>
      </c>
      <c r="BV25" s="982">
        <v>0</v>
      </c>
      <c r="BW25" s="982">
        <v>0</v>
      </c>
      <c r="BX25" s="982">
        <v>0</v>
      </c>
      <c r="BY25" s="982">
        <v>0</v>
      </c>
      <c r="BZ25" s="982">
        <v>0</v>
      </c>
      <c r="CA25" s="982">
        <v>0</v>
      </c>
      <c r="CB25" s="982">
        <v>0</v>
      </c>
      <c r="CC25" s="982">
        <v>0</v>
      </c>
      <c r="CD25" s="982">
        <v>0</v>
      </c>
      <c r="CE25" s="982">
        <v>0</v>
      </c>
      <c r="CF25" s="982">
        <v>0</v>
      </c>
      <c r="CG25" s="982">
        <v>0</v>
      </c>
      <c r="CH25" s="982">
        <v>0</v>
      </c>
      <c r="CI25" s="982">
        <v>0</v>
      </c>
      <c r="CJ25" s="982">
        <v>0</v>
      </c>
      <c r="CK25" s="982">
        <v>0</v>
      </c>
      <c r="CL25" s="982">
        <v>0</v>
      </c>
      <c r="CM25" s="982">
        <v>0</v>
      </c>
      <c r="CN25" s="982">
        <v>0</v>
      </c>
      <c r="CO25" s="982">
        <v>0</v>
      </c>
      <c r="CP25" s="982">
        <v>0</v>
      </c>
      <c r="CQ25" s="982">
        <v>0</v>
      </c>
      <c r="CR25" s="982">
        <v>0</v>
      </c>
      <c r="CS25" s="982">
        <v>0</v>
      </c>
      <c r="CT25" s="982">
        <v>0</v>
      </c>
      <c r="CU25" s="982">
        <v>0</v>
      </c>
      <c r="CV25" s="982">
        <v>0</v>
      </c>
      <c r="CW25" s="982">
        <v>0</v>
      </c>
      <c r="CX25" s="982">
        <v>0</v>
      </c>
      <c r="CY25" s="982">
        <v>0</v>
      </c>
      <c r="CZ25" s="982">
        <v>0</v>
      </c>
      <c r="DA25" s="982">
        <v>0</v>
      </c>
      <c r="DB25" s="982">
        <v>0</v>
      </c>
      <c r="DC25" s="982">
        <v>0</v>
      </c>
      <c r="DD25" s="982">
        <v>0</v>
      </c>
      <c r="DE25" s="982">
        <v>0</v>
      </c>
      <c r="DF25" s="982">
        <v>0</v>
      </c>
      <c r="DG25" s="982">
        <v>0</v>
      </c>
      <c r="DH25" s="982">
        <v>0</v>
      </c>
      <c r="DI25" s="982">
        <v>0</v>
      </c>
      <c r="DJ25" s="982">
        <v>0</v>
      </c>
      <c r="DK25" s="982">
        <v>0</v>
      </c>
      <c r="DL25" s="982">
        <v>0</v>
      </c>
      <c r="DM25" s="982">
        <v>0</v>
      </c>
      <c r="DN25" s="982">
        <v>0</v>
      </c>
      <c r="DO25" s="982">
        <v>0</v>
      </c>
      <c r="DP25" s="982">
        <v>0</v>
      </c>
      <c r="DQ25" s="982">
        <v>0</v>
      </c>
      <c r="DR25" s="982">
        <v>0</v>
      </c>
      <c r="DS25" s="982">
        <v>0</v>
      </c>
      <c r="DT25" s="982">
        <v>0</v>
      </c>
      <c r="DU25" s="982">
        <v>0</v>
      </c>
      <c r="DV25" s="982">
        <v>0</v>
      </c>
      <c r="DW25" s="982">
        <v>0</v>
      </c>
      <c r="DX25" s="982">
        <v>0</v>
      </c>
      <c r="DY25" s="982">
        <v>0</v>
      </c>
      <c r="DZ25" s="982">
        <v>0</v>
      </c>
      <c r="EA25" s="982">
        <v>0</v>
      </c>
      <c r="EB25" s="982">
        <v>0</v>
      </c>
      <c r="EC25" s="982">
        <v>0</v>
      </c>
      <c r="ED25" s="982">
        <v>0</v>
      </c>
      <c r="EE25" s="982">
        <v>0</v>
      </c>
      <c r="EF25" s="982">
        <v>0</v>
      </c>
      <c r="EG25" s="982">
        <v>0</v>
      </c>
      <c r="EH25" s="982">
        <v>0</v>
      </c>
      <c r="EI25" s="982">
        <v>0</v>
      </c>
      <c r="EJ25" s="982">
        <v>0</v>
      </c>
      <c r="EK25" s="982">
        <v>0</v>
      </c>
      <c r="EL25" s="982">
        <v>0</v>
      </c>
      <c r="EM25" s="982">
        <v>0</v>
      </c>
      <c r="EN25" s="982">
        <v>0</v>
      </c>
      <c r="EO25" s="982">
        <v>0</v>
      </c>
      <c r="EP25" s="982">
        <v>0</v>
      </c>
      <c r="EQ25" s="982">
        <v>0</v>
      </c>
      <c r="ER25" s="982">
        <v>0</v>
      </c>
      <c r="ES25" s="982">
        <v>0</v>
      </c>
      <c r="ET25" s="982">
        <v>0</v>
      </c>
      <c r="EU25" s="982">
        <v>0</v>
      </c>
      <c r="EV25" s="982">
        <v>0</v>
      </c>
      <c r="EW25" s="982">
        <v>0</v>
      </c>
      <c r="EX25" s="982">
        <v>0</v>
      </c>
      <c r="EY25" s="982">
        <v>0</v>
      </c>
      <c r="EZ25" s="982">
        <v>0</v>
      </c>
      <c r="FA25" s="982">
        <v>0</v>
      </c>
      <c r="FB25" s="982">
        <v>0</v>
      </c>
      <c r="FC25" s="982">
        <v>0</v>
      </c>
      <c r="FD25" s="982">
        <v>0</v>
      </c>
      <c r="FE25" s="982">
        <v>0</v>
      </c>
      <c r="FF25" s="982">
        <v>0</v>
      </c>
      <c r="FG25" s="982">
        <v>0</v>
      </c>
      <c r="FH25" s="982">
        <v>0</v>
      </c>
      <c r="FI25" s="982">
        <v>0</v>
      </c>
      <c r="FJ25" s="982">
        <v>0</v>
      </c>
      <c r="FK25" s="982">
        <v>0</v>
      </c>
      <c r="FL25" s="982">
        <v>0</v>
      </c>
      <c r="FM25" s="982">
        <v>0</v>
      </c>
      <c r="FN25" s="982">
        <v>0</v>
      </c>
      <c r="FO25" s="982">
        <v>0</v>
      </c>
      <c r="FP25" s="982">
        <v>0</v>
      </c>
      <c r="FQ25" s="982">
        <v>0</v>
      </c>
      <c r="FR25" s="982">
        <v>0</v>
      </c>
      <c r="FS25" s="982">
        <v>0</v>
      </c>
      <c r="FT25" s="982">
        <v>0</v>
      </c>
      <c r="FU25" s="982">
        <v>0</v>
      </c>
      <c r="FV25" s="982">
        <v>0</v>
      </c>
      <c r="FW25" s="982">
        <v>0</v>
      </c>
      <c r="FX25" s="982">
        <v>8</v>
      </c>
      <c r="FY25" s="982">
        <v>8</v>
      </c>
      <c r="FZ25" s="982">
        <v>8</v>
      </c>
      <c r="GA25" s="982">
        <v>8</v>
      </c>
      <c r="GB25" s="982">
        <v>8</v>
      </c>
      <c r="GC25" s="982">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1F16B3-BCBA-0145-B8B4-391A2D57AC65}" mc:Ignorable="x14ac xr xr2 xr3">
  <sheetPr>
    <tabColor theme="2" tint="-0.1"/>
  </sheetPr>
  <dimension ref="A1:S23"/>
  <sheetViews>
    <sheetView topLeftCell="A1" showGridLines="0" zoomScale="90" workbookViewId="0">
      <selection activeCell="A1" sqref="A1"/>
    </sheetView>
  </sheetViews>
  <sheetFormatPr defaultColWidth="10.57421875" customHeight="1" defaultRowHeight="15"/>
  <cols>
    <col min="1" max="1" style="2738" width="9.140625" hidden="1" customWidth="1"/>
    <col min="2" max="2" style="2774" width="9.140625" hidden="1" customWidth="1"/>
    <col min="3" max="3" style="12709" width="4.00390625" customWidth="1"/>
    <col min="4" max="4" style="2774" width="6.00390625" customWidth="1"/>
    <col min="5" max="5" style="2774" width="36.00390625" customWidth="1"/>
    <col min="6" max="6" style="2774" width="9.00390625" customWidth="1"/>
    <col min="7" max="7" style="2774" width="42.421875" hidden="1" customWidth="1"/>
    <col min="8" max="8" style="2774" width="40.7109375" customWidth="1"/>
    <col min="9" max="9" style="2850" width="93.00390625" customWidth="1"/>
    <col min="10" max="17" style="2774" width="10.00390625" customWidth="1"/>
    <col min="18" max="18" style="12648" width="10.00390625" customWidth="1"/>
    <col min="19" max="19" style="2774" width="10.57421875" hidden="1"/>
  </cols>
  <sheetData>
    <row s="2850" customFormat="1" customHeight="1" ht="15" hidden="1">
      <c r="C1" s="728"/>
      <c r="H1" s="473">
        <v>4</v>
      </c>
      <c r="R1" s="476"/>
      <c r="S1" s="473" t="s">
        <v>14</v>
      </c>
    </row>
    <row customHeight="1" ht="22.5" hidden="1">
      <c r="C2" s="1984" t="s">
        <v>109</v>
      </c>
      <c r="D2" s="595"/>
      <c r="E2" s="719"/>
      <c r="F2" s="1817" t="str">
        <f>IF(TEMPLATE_SPHERE="HEAT","Гкал/час","тыс. куб. м/сутки")</f>
        <v>тыс. куб. м/сутки</v>
      </c>
      <c r="G2" s="736"/>
      <c r="H2" s="736"/>
      <c r="I2" s="345"/>
      <c r="S2" s="561">
        <v>0</v>
      </c>
    </row>
    <row s="2850" customFormat="1" customHeight="1" ht="15" hidden="1">
      <c r="C3" s="728"/>
      <c r="R3" s="476"/>
      <c r="S3" s="473">
        <v>0</v>
      </c>
    </row>
    <row customHeight="1" ht="15.75">
      <c r="C4" s="232"/>
      <c r="D4" s="565"/>
      <c r="E4" s="565"/>
      <c r="F4" s="565"/>
      <c r="G4" s="565"/>
      <c r="H4" s="565"/>
      <c r="S4" s="561">
        <v>15</v>
      </c>
    </row>
    <row customHeight="1" ht="39.75">
      <c r="C5" s="232"/>
      <c r="D5" s="229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93"/>
      <c r="F5" s="2293"/>
      <c r="G5" s="2293"/>
      <c r="H5" s="2293"/>
      <c r="I5" s="593"/>
      <c r="S5" s="561">
        <v>38</v>
      </c>
    </row>
    <row customHeight="1" ht="15.75">
      <c r="C6" s="232"/>
      <c r="D6" s="2232" t="str">
        <f>IF(org=0,"Не определено",org)</f>
        <v>МУП ЖКХ "Родник"</v>
      </c>
      <c r="E6" s="2232"/>
      <c r="F6" s="2232"/>
      <c r="G6" s="2232"/>
      <c r="H6" s="2232"/>
      <c r="I6" s="593"/>
      <c r="S6" s="561">
        <v>15</v>
      </c>
    </row>
    <row s="2774" customFormat="1" customHeight="1" ht="15.75">
      <c r="A7" s="815"/>
      <c r="C7" s="232"/>
      <c r="D7" s="732"/>
      <c r="E7" s="732"/>
      <c r="F7" s="732"/>
      <c r="G7" s="732"/>
      <c r="H7" s="808"/>
      <c r="I7" s="593"/>
      <c r="R7" s="731"/>
      <c r="S7" s="814">
        <v>15</v>
      </c>
    </row>
    <row customHeight="1" ht="1.05">
      <c r="C8" s="232"/>
      <c r="D8" s="565"/>
      <c r="E8" s="565"/>
      <c r="F8" s="565"/>
      <c r="G8" s="565"/>
      <c r="H8" s="593" t="s">
        <v>196</v>
      </c>
      <c r="S8" s="561">
        <v>1</v>
      </c>
    </row>
    <row customHeight="1" ht="15.75">
      <c r="C9" s="232"/>
      <c r="D9" s="767"/>
      <c r="E9" s="2423" t="s">
        <v>187</v>
      </c>
      <c r="F9" s="2424"/>
      <c r="G9" s="872" t="str">
        <f>IF(G8="","",INDEX(DIFFERENTIATION_UNMERGE_VD,MATCH(G8,DIFFERENTIATION_ID_DIFF,0)))</f>
        <v/>
      </c>
      <c r="H9" s="872">
        <f>IF(H8="","",INDEX(DIFFERENTIATION_UNMERGE_VD,MATCH(H8,DIFFERENTIATION_ID_DIFF,0)))</f>
        <v>0</v>
      </c>
      <c r="I9" s="2183" t="s">
        <v>433</v>
      </c>
      <c r="S9" s="561">
        <v>15</v>
      </c>
    </row>
    <row s="2774" customFormat="1" customHeight="1" ht="15.75">
      <c r="A10" s="815"/>
      <c r="C10" s="232"/>
      <c r="D10" s="767"/>
      <c r="E10" s="2423" t="s">
        <v>697</v>
      </c>
      <c r="F10" s="2424"/>
      <c r="G10" s="872" t="str">
        <f>IF(G8="","",INDEX(DIFFERENTIATION_UNMERGE_AREA,MATCH(G8,DIFFERENTIATION_ID_DIFF,0)))</f>
        <v/>
      </c>
      <c r="H10" s="872" t="str">
        <f>IF(H8="","",INDEX(DIFFERENTIATION_UNMERGE_AREA,MATCH(H8,DIFFERENTIATION_ID_DIFF,0)))</f>
        <v/>
      </c>
      <c r="I10" s="2183"/>
      <c r="R10" s="731"/>
      <c r="S10" s="814">
        <v>15</v>
      </c>
    </row>
    <row s="2774" customFormat="1" customHeight="1" ht="15.75">
      <c r="A11" s="815"/>
      <c r="C11" s="232"/>
      <c r="D11" s="767"/>
      <c r="E11" s="2423" t="s">
        <v>698</v>
      </c>
      <c r="F11" s="2424"/>
      <c r="G11" s="872" t="str">
        <f>IF(G8="","",INDEX(DIFFERENTIATION_UNMERGE_SYSTEM,MATCH(G8,DIFFERENTIATION_ID_DIFF,0)))</f>
        <v/>
      </c>
      <c r="H11" s="872" t="str">
        <f>IF(H8="","",INDEX(DIFFERENTIATION_UNMERGE_SYSTEM,MATCH(H8,DIFFERENTIATION_ID_DIFF,0)))</f>
        <v>без дифференциации</v>
      </c>
      <c r="I11" s="2183"/>
      <c r="R11" s="731"/>
      <c r="S11" s="814">
        <v>15</v>
      </c>
    </row>
    <row s="2774" customFormat="1" customHeight="1" ht="15.75">
      <c r="A12" s="815"/>
      <c r="C12" s="232"/>
      <c r="D12" s="2425" t="s">
        <v>432</v>
      </c>
      <c r="E12" s="2426"/>
      <c r="F12" s="2426"/>
      <c r="G12" s="943"/>
      <c r="H12" s="943"/>
      <c r="I12" s="2183"/>
      <c r="R12" s="731"/>
      <c r="S12" s="814">
        <v>15</v>
      </c>
    </row>
    <row customHeight="1" ht="35.699999999999996">
      <c r="C13" s="232"/>
      <c r="D13" s="817" t="s">
        <v>92</v>
      </c>
      <c r="E13" s="816" t="s">
        <v>434</v>
      </c>
      <c r="F13" s="816" t="s">
        <v>699</v>
      </c>
      <c r="G13" s="864" t="s">
        <v>435</v>
      </c>
      <c r="H13" s="810" t="s">
        <v>435</v>
      </c>
      <c r="I13" s="2183"/>
      <c r="S13" s="561">
        <v>34</v>
      </c>
    </row>
    <row customHeight="1" ht="15" hidden="1">
      <c r="C14" s="232"/>
      <c r="D14" s="649" t="s">
        <v>191</v>
      </c>
      <c r="E14" s="649" t="s">
        <v>108</v>
      </c>
      <c r="F14" s="649" t="s">
        <v>94</v>
      </c>
      <c r="G14" s="715" t="str">
        <f>G1&amp;".1"</f>
        <v>.1</v>
      </c>
      <c r="H14" s="715" t="str">
        <f>H1&amp;".1"</f>
        <v>4.1</v>
      </c>
      <c r="I14" s="345"/>
      <c r="S14" s="561">
        <v>0</v>
      </c>
    </row>
    <row customHeight="1" ht="15.75">
      <c r="A15" s="561"/>
      <c r="C15" s="582"/>
      <c r="D15" s="577">
        <v>1</v>
      </c>
      <c r="E15" s="1986" t="str">
        <f>TP_P_A</f>
        <v>Количество поданных заявлений </v>
      </c>
      <c r="F15" s="577" t="s">
        <v>1247</v>
      </c>
      <c r="G15" s="741"/>
      <c r="H15" s="741"/>
      <c r="I15" s="26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5" s="561">
        <v>15</v>
      </c>
    </row>
    <row customHeight="1" ht="15.75">
      <c r="A16" s="561"/>
      <c r="C16" s="582"/>
      <c r="D16" s="577">
        <v>2</v>
      </c>
      <c r="E16" s="1986" t="str">
        <f>TP_P_B</f>
        <v>Количество исполненных заявлений </v>
      </c>
      <c r="F16" s="577" t="s">
        <v>1247</v>
      </c>
      <c r="G16" s="741"/>
      <c r="H16" s="741"/>
      <c r="I16" s="26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S16" s="561">
        <v>15</v>
      </c>
    </row>
    <row customHeight="1" ht="77.7">
      <c r="A17" s="561"/>
      <c r="C17" s="582"/>
      <c r="D17" s="577">
        <v>3</v>
      </c>
      <c r="E17" s="1986"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77" t="s">
        <v>1247</v>
      </c>
      <c r="G17" s="741"/>
      <c r="H17" s="741"/>
      <c r="I17" s="264"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S17" s="561">
        <v>74</v>
      </c>
    </row>
    <row customHeight="1" ht="54.75">
      <c r="A18" s="561"/>
      <c r="C18" s="582"/>
      <c r="D18" s="577">
        <v>4</v>
      </c>
      <c r="E18" s="1986" t="str">
        <f>TP_P_V_1</f>
        <v>Причины отказа в заключении договора о подключении (технологическом присоединении) к централизованной системе холодного водоснабжения</v>
      </c>
      <c r="F18" s="577" t="s">
        <v>438</v>
      </c>
      <c r="G18" s="742"/>
      <c r="H18" s="742"/>
      <c r="I18" s="894"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61">
        <v>52</v>
      </c>
    </row>
    <row customHeight="1" ht="60">
      <c r="A19" s="561"/>
      <c r="C19" s="582"/>
      <c r="D19" s="577">
        <v>5</v>
      </c>
      <c r="E19" s="1986"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577" t="str">
        <f>IF(TEMPLATE_SPHERE="HEAT","Гкал/час","тыс. куб. м/сутки")</f>
        <v>тыс. куб. м/сутки</v>
      </c>
      <c r="G19" s="743">
        <f>SUM(G20:G22)</f>
        <v>0</v>
      </c>
      <c r="H19" s="743">
        <f>SUM(H20:H22)</f>
        <v>0</v>
      </c>
      <c r="I19" s="264"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S19" s="561">
        <v>57</v>
      </c>
    </row>
    <row customHeight="1" ht="15" hidden="1">
      <c r="D20" s="565" t="s">
        <v>1248</v>
      </c>
      <c r="E20" s="744"/>
      <c r="F20" s="565"/>
      <c r="G20" s="565"/>
      <c r="H20" s="565"/>
      <c r="I20" s="1819"/>
      <c r="S20" s="561">
        <v>0</v>
      </c>
    </row>
    <row customHeight="1" ht="29.25">
      <c r="C21" s="507"/>
      <c r="D21" s="595" t="s">
        <v>445</v>
      </c>
      <c r="E21" s="726"/>
      <c r="F21" s="1817" t="str">
        <f>IF(TEMPLATE_SPHERE="HEAT","Гкал/час","тыс. куб. м/сутки")</f>
        <v>тыс. куб. м/сутки</v>
      </c>
      <c r="G21" s="736"/>
      <c r="H21" s="736"/>
      <c r="I21" s="2225"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S21" s="561">
        <v>28</v>
      </c>
    </row>
    <row customHeight="1" ht="15.75">
      <c r="A22" s="561"/>
      <c r="C22" s="561"/>
      <c r="D22" s="403"/>
      <c r="E22" s="636" t="s">
        <v>1249</v>
      </c>
      <c r="F22" s="628"/>
      <c r="G22" s="628"/>
      <c r="H22" s="628"/>
      <c r="I22" s="2227"/>
      <c r="R22" s="561"/>
      <c r="S22" s="561">
        <v>15</v>
      </c>
    </row>
    <row customHeight="1" ht="22.5" hidden="1">
      <c r="A23" s="505" t="s">
        <v>86</v>
      </c>
      <c r="B23" s="561">
        <v>0</v>
      </c>
      <c r="C23" s="739">
        <v>4</v>
      </c>
      <c r="D23" s="561">
        <v>6</v>
      </c>
      <c r="E23" s="561">
        <v>36</v>
      </c>
      <c r="F23" s="561">
        <v>9</v>
      </c>
      <c r="G23" s="814">
        <v>0</v>
      </c>
      <c r="H23" s="561">
        <v>40</v>
      </c>
      <c r="I23" s="473">
        <v>93</v>
      </c>
      <c r="J23" s="561">
        <v>10</v>
      </c>
      <c r="K23" s="561">
        <v>10</v>
      </c>
      <c r="L23" s="561">
        <v>10</v>
      </c>
      <c r="M23" s="561">
        <v>10</v>
      </c>
      <c r="N23" s="561">
        <v>10</v>
      </c>
      <c r="O23" s="561">
        <v>10</v>
      </c>
      <c r="P23" s="561">
        <v>10</v>
      </c>
      <c r="Q23" s="561">
        <v>10</v>
      </c>
      <c r="R23" s="731">
        <v>10</v>
      </c>
      <c r="S23" s="561">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999C5D-0D25-B19B-05E8-3448A72370AE}" mc:Ignorable="x14ac xr xr2 xr3">
  <sheetPr>
    <tabColor theme="6" tint="0.4"/>
    <pageSetUpPr fitToPage="1"/>
  </sheetPr>
  <dimension ref="A1:Q32"/>
  <sheetViews>
    <sheetView topLeftCell="A1" showGridLines="0" zoomScale="90" workbookViewId="0">
      <selection activeCell="A1" sqref="A1"/>
    </sheetView>
  </sheetViews>
  <sheetFormatPr defaultColWidth="10.57421875" customHeight="1" defaultRowHeight="14.25"/>
  <cols>
    <col min="1" max="1" style="3680" width="9.140625" hidden="1" customWidth="1"/>
    <col min="2" max="2" style="2850" width="9.140625" hidden="1" customWidth="1"/>
    <col min="3" max="3" style="3677" width="3.00390625" customWidth="1"/>
    <col min="4" max="4" style="2774" width="6.00390625" customWidth="1"/>
    <col min="5" max="6" style="2774" width="64.00390625" customWidth="1"/>
    <col min="7" max="7" style="2774" width="140.00390625" customWidth="1"/>
    <col min="8" max="8" style="2774" width="10.00390625" customWidth="1"/>
    <col min="9" max="10" style="2933" width="10.00390625" customWidth="1"/>
    <col min="11" max="16" style="2774" width="10.00390625" customWidth="1"/>
    <col min="17" max="17" style="2774" width="10.57421875" hidden="1"/>
  </cols>
  <sheetData>
    <row customHeight="1" ht="22.5" hidden="1">
      <c r="M1" s="311"/>
      <c r="N1" s="311"/>
      <c r="P1" s="311"/>
      <c r="Q1" s="139" t="s">
        <v>14</v>
      </c>
    </row>
    <row customHeight="1" ht="14.25" hidden="1">
      <c r="Q2" s="139">
        <v>0</v>
      </c>
    </row>
    <row customHeight="1" ht="14.25" hidden="1">
      <c r="Q3" s="139">
        <v>0</v>
      </c>
    </row>
    <row customHeight="1" ht="3">
      <c r="C4" s="152"/>
      <c r="D4" s="140"/>
      <c r="E4" s="140"/>
      <c r="F4" s="141"/>
      <c r="G4" s="141"/>
      <c r="Q4" s="139">
        <v>3</v>
      </c>
    </row>
    <row customHeight="1" ht="29.25">
      <c r="C5" s="152"/>
      <c r="D5" s="2510"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511"/>
      <c r="F5" s="2511"/>
      <c r="G5" s="2512"/>
      <c r="Q5" s="139">
        <v>28</v>
      </c>
    </row>
    <row s="2774" customFormat="1" customHeight="1" ht="18.75">
      <c r="A6" s="938"/>
      <c r="B6" s="473"/>
      <c r="C6" s="432"/>
      <c r="D6" s="2513" t="str">
        <f>IF(org=0,"Не определено",org)</f>
        <v>МУП ЖКХ "Родник"</v>
      </c>
      <c r="E6" s="2514"/>
      <c r="F6" s="2514"/>
      <c r="G6" s="2515"/>
      <c r="I6" s="556"/>
      <c r="J6" s="556"/>
      <c r="Q6" s="814">
        <v>18</v>
      </c>
    </row>
    <row customHeight="1" ht="14.699999999999998">
      <c r="C7" s="152"/>
      <c r="D7" s="140"/>
      <c r="E7" s="151"/>
      <c r="F7" s="808"/>
      <c r="G7" s="249"/>
      <c r="Q7" s="139">
        <v>14</v>
      </c>
    </row>
    <row s="2774" customFormat="1" customHeight="1" ht="1.05">
      <c r="A8" s="1725"/>
      <c r="B8" s="1216"/>
      <c r="C8" s="432"/>
      <c r="D8" s="419"/>
      <c r="E8" s="445"/>
      <c r="F8" s="808"/>
      <c r="G8" s="249"/>
      <c r="I8" s="1680"/>
      <c r="J8" s="1680"/>
      <c r="Q8" s="1687">
        <v>1</v>
      </c>
    </row>
    <row customHeight="1" ht="14.699999999999998">
      <c r="C9" s="152"/>
      <c r="D9" s="2265" t="s">
        <v>432</v>
      </c>
      <c r="E9" s="2265"/>
      <c r="F9" s="2265"/>
      <c r="G9" s="2445" t="s">
        <v>433</v>
      </c>
      <c r="Q9" s="139">
        <v>14</v>
      </c>
    </row>
    <row customHeight="1" ht="24">
      <c r="C10" s="152"/>
      <c r="D10" s="161" t="s">
        <v>92</v>
      </c>
      <c r="E10" s="164" t="s">
        <v>434</v>
      </c>
      <c r="F10" s="164" t="s">
        <v>522</v>
      </c>
      <c r="G10" s="2445"/>
      <c r="Q10" s="139">
        <v>23</v>
      </c>
    </row>
    <row customHeight="1" ht="12" hidden="1">
      <c r="C11" s="152"/>
      <c r="D11" s="143"/>
      <c r="E11" s="143"/>
      <c r="F11" s="143"/>
      <c r="G11" s="143"/>
      <c r="Q11" s="139">
        <v>0</v>
      </c>
    </row>
    <row customHeight="1" ht="65.25">
      <c r="A12" s="248"/>
      <c r="C12" s="152"/>
      <c r="D12" s="203">
        <v>1</v>
      </c>
      <c r="E12" s="25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254" t="s">
        <v>438</v>
      </c>
      <c r="G12" s="207"/>
      <c r="Q12" s="139">
        <v>62</v>
      </c>
    </row>
    <row customHeight="1" ht="24">
      <c r="A13" s="248"/>
      <c r="C13" s="152"/>
      <c r="D13" s="203" t="s">
        <v>1154</v>
      </c>
      <c r="E13" s="25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54" t="s">
        <v>438</v>
      </c>
      <c r="G13" s="207"/>
      <c r="Q13" s="139">
        <v>23</v>
      </c>
    </row>
    <row customHeight="1" ht="14.699999999999998">
      <c r="A14" s="248"/>
      <c r="C14" s="152"/>
      <c r="D14" s="203" t="s">
        <v>1190</v>
      </c>
      <c r="E14" s="251"/>
      <c r="F14" s="269"/>
      <c r="G14" s="222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39">
        <v>14</v>
      </c>
    </row>
    <row customHeight="1" ht="15.75">
      <c r="A15" s="248"/>
      <c r="C15" s="152"/>
      <c r="D15" s="165"/>
      <c r="E15" s="405" t="s">
        <v>1250</v>
      </c>
      <c r="F15" s="257"/>
      <c r="G15" s="2227"/>
      <c r="Q15" s="139">
        <v>15</v>
      </c>
    </row>
    <row customHeight="1" ht="14.699999999999998">
      <c r="A16" s="248"/>
      <c r="C16" s="152"/>
      <c r="D16" s="203" t="s">
        <v>1156</v>
      </c>
      <c r="E16" s="25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254" t="s">
        <v>438</v>
      </c>
      <c r="G16" s="393"/>
      <c r="Q16" s="139">
        <v>14</v>
      </c>
    </row>
    <row customHeight="1" ht="14.699999999999998">
      <c r="A17" s="248"/>
      <c r="C17" s="152"/>
      <c r="D17" s="203" t="s">
        <v>1198</v>
      </c>
      <c r="E17" s="251"/>
      <c r="F17" s="441"/>
      <c r="G17" s="222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139">
        <v>14</v>
      </c>
    </row>
    <row s="2774" customFormat="1" customHeight="1" ht="22.049999999999997">
      <c r="A18" s="399"/>
      <c r="B18" s="202"/>
      <c r="C18" s="363"/>
      <c r="D18" s="403"/>
      <c r="E18" s="405" t="s">
        <v>1251</v>
      </c>
      <c r="F18" s="394"/>
      <c r="G18" s="2227"/>
      <c r="I18" s="406"/>
      <c r="J18" s="406"/>
      <c r="Q18" s="398">
        <v>21</v>
      </c>
    </row>
    <row s="2774" customFormat="1" customHeight="1" ht="256.5" hidden="1">
      <c r="A19" s="399"/>
      <c r="B19" s="473"/>
      <c r="C19" s="432"/>
      <c r="D19" s="940" t="s">
        <v>1158</v>
      </c>
      <c r="E19" s="939" t="s">
        <v>1252</v>
      </c>
      <c r="F19" s="441"/>
      <c r="G19" s="393" t="s">
        <v>1253</v>
      </c>
      <c r="I19" s="556"/>
      <c r="J19" s="556"/>
      <c r="Q19" s="814">
        <v>0</v>
      </c>
    </row>
    <row s="2774" customFormat="1" customHeight="1" ht="14.699999999999998">
      <c r="A20" s="399"/>
      <c r="B20" s="202"/>
      <c r="C20" s="363"/>
      <c r="D20" s="941">
        <v>2</v>
      </c>
      <c r="E20" s="386" t="s">
        <v>1254</v>
      </c>
      <c r="F20" s="254" t="s">
        <v>438</v>
      </c>
      <c r="G20" s="393"/>
      <c r="I20" s="406"/>
      <c r="J20" s="406"/>
      <c r="Q20" s="398">
        <v>14</v>
      </c>
    </row>
    <row s="2774" customFormat="1" customHeight="1" ht="18.75" hidden="1">
      <c r="A21" s="399"/>
      <c r="B21" s="202"/>
      <c r="C21" s="363"/>
      <c r="D21" s="389" t="s">
        <v>769</v>
      </c>
      <c r="E21" s="388"/>
      <c r="F21" s="387"/>
      <c r="G21" s="397"/>
      <c r="H21" s="390"/>
      <c r="I21" s="406"/>
      <c r="J21" s="406"/>
      <c r="Q21" s="398">
        <v>0</v>
      </c>
    </row>
    <row customHeight="1" ht="15.75">
      <c r="A22" s="248"/>
      <c r="C22" s="152"/>
      <c r="D22" s="165"/>
      <c r="E22" s="259" t="s">
        <v>454</v>
      </c>
      <c r="F22" s="394"/>
      <c r="G22" s="395"/>
      <c r="Q22" s="139">
        <v>15</v>
      </c>
    </row>
    <row s="2774" customFormat="1" customHeight="1" ht="22.5" hidden="1">
      <c r="A23" s="399"/>
      <c r="B23" s="1216"/>
      <c r="C23" s="432"/>
      <c r="D23" s="1729" t="s">
        <v>108</v>
      </c>
      <c r="E23" s="253" t="s">
        <v>1255</v>
      </c>
      <c r="F23" s="1726" t="s">
        <v>438</v>
      </c>
      <c r="G23" s="401"/>
      <c r="I23" s="1680"/>
      <c r="J23" s="1680"/>
      <c r="Q23" s="1687">
        <v>0</v>
      </c>
    </row>
    <row s="2774" customFormat="1" customHeight="1" ht="14.25" hidden="1">
      <c r="A24" s="399"/>
      <c r="B24" s="1216"/>
      <c r="C24" s="432"/>
      <c r="D24" s="1729" t="s">
        <v>841</v>
      </c>
      <c r="E24" s="1728" t="s">
        <v>1256</v>
      </c>
      <c r="F24" s="1726" t="s">
        <v>438</v>
      </c>
      <c r="G24" s="393"/>
      <c r="I24" s="1680"/>
      <c r="J24" s="1680"/>
      <c r="Q24" s="1687">
        <v>0</v>
      </c>
    </row>
    <row s="2774" customFormat="1" customHeight="1" ht="14.25" hidden="1">
      <c r="A25" s="399"/>
      <c r="B25" s="1216"/>
      <c r="C25" s="432"/>
      <c r="D25" s="1729" t="s">
        <v>844</v>
      </c>
      <c r="E25" s="251"/>
      <c r="F25" s="441"/>
      <c r="G25" s="2225" t="s">
        <v>1257</v>
      </c>
      <c r="I25" s="1680"/>
      <c r="J25" s="1680"/>
      <c r="Q25" s="1687">
        <v>0</v>
      </c>
    </row>
    <row s="2774" customFormat="1" customHeight="1" ht="22.5" hidden="1">
      <c r="A26" s="399"/>
      <c r="B26" s="1216"/>
      <c r="C26" s="432"/>
      <c r="D26" s="403"/>
      <c r="E26" s="405" t="s">
        <v>1258</v>
      </c>
      <c r="F26" s="394"/>
      <c r="G26" s="2227"/>
      <c r="I26" s="1680"/>
      <c r="J26" s="1680"/>
      <c r="Q26" s="1687">
        <v>0</v>
      </c>
    </row>
    <row customHeight="1" ht="3">
      <c r="Q27" s="139">
        <v>3</v>
      </c>
    </row>
    <row customHeight="1" ht="14.699999999999998">
      <c r="D28" s="392"/>
      <c r="E28" s="391"/>
      <c r="F28" s="371"/>
      <c r="G28" s="371"/>
      <c r="H28" s="371"/>
      <c r="I28" s="371"/>
      <c r="J28" s="371"/>
      <c r="K28" s="371"/>
      <c r="L28" s="371"/>
      <c r="M28" s="371"/>
      <c r="N28" s="371"/>
      <c r="O28" s="371"/>
      <c r="P28" s="371"/>
      <c r="Q28" s="139">
        <v>14</v>
      </c>
    </row>
    <row customHeight="1" ht="14.699999999999998">
      <c r="D29" s="392"/>
      <c r="E29" s="638"/>
      <c r="Q29" s="139">
        <v>14</v>
      </c>
    </row>
    <row customHeight="1" ht="14.699999999999998">
      <c r="Q30" s="139">
        <v>14</v>
      </c>
    </row>
    <row customHeight="1" ht="14.699999999999998">
      <c r="E31" s="814"/>
      <c r="Q31" s="139">
        <v>14</v>
      </c>
    </row>
    <row customHeight="1" ht="22.5" hidden="1">
      <c r="A32" s="157" t="s">
        <v>86</v>
      </c>
      <c r="B32" s="202">
        <v>0</v>
      </c>
      <c r="C32" s="153">
        <v>3</v>
      </c>
      <c r="D32" s="139">
        <v>6</v>
      </c>
      <c r="E32" s="139">
        <v>64</v>
      </c>
      <c r="F32" s="139">
        <v>64</v>
      </c>
      <c r="G32" s="139">
        <v>140</v>
      </c>
      <c r="H32" s="139">
        <v>10</v>
      </c>
      <c r="I32" s="211">
        <v>10</v>
      </c>
      <c r="J32" s="211">
        <v>10</v>
      </c>
      <c r="K32" s="139">
        <v>10</v>
      </c>
      <c r="L32" s="139">
        <v>10</v>
      </c>
      <c r="M32" s="139">
        <v>10</v>
      </c>
      <c r="N32" s="139">
        <v>10</v>
      </c>
      <c r="O32" s="139">
        <v>10</v>
      </c>
      <c r="P32" s="139">
        <v>10</v>
      </c>
      <c r="Q32" s="139">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4353F4-554E-499E-474A-31E3BBF1ECCF}" mc:Ignorable="x14ac xr xr2 xr3">
  <sheetPr>
    <tabColor theme="6" tint="0.4"/>
  </sheetPr>
  <dimension ref="A1:M43"/>
  <sheetViews>
    <sheetView topLeftCell="A1" showGridLines="0" zoomScale="90" workbookViewId="0">
      <selection activeCell="G39" sqref="G39"/>
    </sheetView>
  </sheetViews>
  <sheetFormatPr defaultColWidth="10.57421875" customHeight="1" defaultRowHeight="14.25"/>
  <cols>
    <col min="1" max="1" style="2792" width="9.140625" hidden="1" customWidth="1"/>
    <col min="2" max="2" style="2850" width="9.140625" hidden="1" customWidth="1"/>
    <col min="3" max="3" style="3677" width="3.00390625" customWidth="1"/>
    <col min="4" max="4" style="2774" width="6.00390625" customWidth="1"/>
    <col min="5" max="5" style="2774" width="63.00390625" customWidth="1"/>
    <col min="6" max="6" style="2774" width="1.7109375" hidden="1" customWidth="1"/>
    <col min="7" max="8" style="2774" width="35.00390625" customWidth="1"/>
    <col min="9" max="9" style="2774" width="91.00390625" customWidth="1"/>
    <col min="10" max="10" style="2774" width="68.00390625" customWidth="1"/>
    <col min="11" max="12" style="2933" width="10.00390625" customWidth="1"/>
    <col min="13" max="13" style="2774" width="10.57421875" hidden="1"/>
  </cols>
  <sheetData>
    <row customHeight="1" ht="22.5" hidden="1">
      <c r="M1" s="139" t="s">
        <v>14</v>
      </c>
    </row>
    <row s="2774" customFormat="1" customHeight="1" ht="18.75" hidden="1">
      <c r="A2" s="1739"/>
      <c r="B2" s="1216"/>
      <c r="C2" s="1786" t="s">
        <v>109</v>
      </c>
      <c r="D2" s="1729"/>
      <c r="E2" s="255"/>
      <c r="F2" s="1726"/>
      <c r="G2" s="1726" t="s">
        <v>438</v>
      </c>
      <c r="H2" s="1217"/>
      <c r="K2" s="1680"/>
      <c r="L2" s="1680"/>
      <c r="M2" s="1687">
        <v>0</v>
      </c>
    </row>
    <row s="2774" customFormat="1" customHeight="1" ht="14.25" hidden="1">
      <c r="A3" s="1418"/>
      <c r="B3" s="1216"/>
      <c r="C3" s="400"/>
      <c r="K3" s="1680"/>
      <c r="L3" s="1680"/>
      <c r="M3" s="1687">
        <v>0</v>
      </c>
    </row>
    <row s="2774" customFormat="1" customHeight="1" ht="18.75" hidden="1">
      <c r="A4" s="1739"/>
      <c r="B4" s="1216"/>
      <c r="C4" s="1786" t="s">
        <v>109</v>
      </c>
      <c r="D4" s="1729"/>
      <c r="E4" s="261" t="s">
        <v>1259</v>
      </c>
      <c r="F4" s="1726"/>
      <c r="G4" s="313"/>
      <c r="H4" s="1726" t="s">
        <v>438</v>
      </c>
      <c r="K4" s="1680"/>
      <c r="L4" s="1680"/>
      <c r="M4" s="1687">
        <v>0</v>
      </c>
    </row>
    <row s="2774" customFormat="1" customHeight="1" ht="14.25" hidden="1">
      <c r="A5" s="1418"/>
      <c r="B5" s="1216"/>
      <c r="C5" s="400"/>
      <c r="K5" s="1680"/>
      <c r="L5" s="1680"/>
      <c r="M5" s="1687">
        <v>0</v>
      </c>
    </row>
    <row s="2774" customFormat="1" customHeight="1" ht="18.75" hidden="1">
      <c r="A6" s="1739"/>
      <c r="B6" s="1216"/>
      <c r="C6" s="1786" t="s">
        <v>109</v>
      </c>
      <c r="D6" s="1729"/>
      <c r="E6" s="262" t="s">
        <v>1260</v>
      </c>
      <c r="F6" s="1726"/>
      <c r="G6" s="313"/>
      <c r="H6" s="1726" t="s">
        <v>438</v>
      </c>
      <c r="K6" s="1680"/>
      <c r="L6" s="1680"/>
      <c r="M6" s="1687">
        <v>0</v>
      </c>
    </row>
    <row s="2774" customFormat="1" customHeight="1" ht="14.25" hidden="1">
      <c r="A7" s="1418"/>
      <c r="B7" s="1216"/>
      <c r="C7" s="400"/>
      <c r="K7" s="1680"/>
      <c r="L7" s="1680"/>
      <c r="M7" s="1687">
        <v>0</v>
      </c>
    </row>
    <row s="2774" customFormat="1" customHeight="1" ht="18.75" hidden="1">
      <c r="A8" s="1739"/>
      <c r="B8" s="1216"/>
      <c r="C8" s="1786" t="s">
        <v>109</v>
      </c>
      <c r="D8" s="1729"/>
      <c r="E8" s="262" t="s">
        <v>1261</v>
      </c>
      <c r="F8" s="1726"/>
      <c r="G8" s="313"/>
      <c r="H8" s="1726" t="s">
        <v>438</v>
      </c>
      <c r="K8" s="1680"/>
      <c r="L8" s="1680"/>
      <c r="M8" s="1687">
        <v>0</v>
      </c>
    </row>
    <row s="2774" customFormat="1" customHeight="1" ht="14.25" hidden="1">
      <c r="A9" s="1418"/>
      <c r="B9" s="1216"/>
      <c r="C9" s="400"/>
      <c r="K9" s="1680"/>
      <c r="L9" s="1680"/>
      <c r="M9" s="1687">
        <v>0</v>
      </c>
    </row>
    <row s="2774" customFormat="1" customHeight="1" ht="18.75" hidden="1">
      <c r="A10" s="1739"/>
      <c r="B10" s="1216"/>
      <c r="C10" s="1786" t="s">
        <v>109</v>
      </c>
      <c r="D10" s="1729"/>
      <c r="E10" s="262" t="s">
        <v>1262</v>
      </c>
      <c r="F10" s="1726"/>
      <c r="G10" s="1730"/>
      <c r="H10" s="1726" t="s">
        <v>438</v>
      </c>
      <c r="K10" s="1680"/>
      <c r="L10" s="1680" t="s">
        <v>1263</v>
      </c>
      <c r="M10" s="1687">
        <v>0</v>
      </c>
    </row>
    <row customHeight="1" ht="14.25" hidden="1">
      <c r="M11" s="139">
        <v>0</v>
      </c>
    </row>
    <row customHeight="1" ht="14.25" hidden="1">
      <c r="M12" s="139">
        <v>0</v>
      </c>
    </row>
    <row customHeight="1" ht="14.699999999999998">
      <c r="C13" s="152"/>
      <c r="D13" s="140"/>
      <c r="E13" s="140"/>
      <c r="F13" s="140"/>
      <c r="G13" s="140"/>
      <c r="H13" s="141"/>
      <c r="I13" s="141"/>
      <c r="M13" s="139">
        <v>14</v>
      </c>
    </row>
    <row customHeight="1" ht="29.25">
      <c r="C14" s="152"/>
      <c r="D14" s="2510"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511"/>
      <c r="F14" s="2511"/>
      <c r="G14" s="2511"/>
      <c r="H14" s="2512"/>
      <c r="J14" s="1687"/>
      <c r="M14" s="139">
        <v>28</v>
      </c>
    </row>
    <row s="2774" customFormat="1" customHeight="1" ht="14.699999999999998">
      <c r="A15" s="1418"/>
      <c r="B15" s="1216"/>
      <c r="C15" s="432"/>
      <c r="D15" s="2513" t="str">
        <f>IF(org=0,"Не определено",org)</f>
        <v>МУП ЖКХ "Родник"</v>
      </c>
      <c r="E15" s="2514"/>
      <c r="F15" s="2514"/>
      <c r="G15" s="2514"/>
      <c r="H15" s="2515"/>
      <c r="J15" s="908"/>
      <c r="K15" s="1680"/>
      <c r="L15" s="1680"/>
      <c r="M15" s="1687">
        <v>14</v>
      </c>
    </row>
    <row customHeight="1" ht="14.699999999999998">
      <c r="C16" s="152"/>
      <c r="D16" s="140"/>
      <c r="E16" s="151"/>
      <c r="F16" s="151"/>
      <c r="G16" s="151"/>
      <c r="H16" s="808"/>
      <c r="I16" s="249"/>
      <c r="M16" s="139">
        <v>14</v>
      </c>
    </row>
    <row s="2774" customFormat="1" customHeight="1" ht="14.25" hidden="1">
      <c r="A17" s="1418"/>
      <c r="B17" s="1216"/>
      <c r="C17" s="432"/>
      <c r="D17" s="419"/>
      <c r="E17" s="445"/>
      <c r="F17" s="445"/>
      <c r="G17" s="445"/>
      <c r="H17" s="808"/>
      <c r="I17" s="249"/>
      <c r="K17" s="1680"/>
      <c r="L17" s="1680"/>
      <c r="M17" s="1687">
        <v>0</v>
      </c>
    </row>
    <row customHeight="1" ht="22.049999999999997">
      <c r="C18" s="152"/>
      <c r="D18" s="2265" t="s">
        <v>432</v>
      </c>
      <c r="E18" s="2265"/>
      <c r="F18" s="2265"/>
      <c r="G18" s="2265"/>
      <c r="H18" s="2265"/>
      <c r="I18" s="2445" t="s">
        <v>433</v>
      </c>
      <c r="M18" s="139">
        <v>21</v>
      </c>
    </row>
    <row customHeight="1" ht="22.049999999999997">
      <c r="C19" s="152"/>
      <c r="D19" s="161" t="s">
        <v>92</v>
      </c>
      <c r="E19" s="164" t="s">
        <v>434</v>
      </c>
      <c r="F19" s="164"/>
      <c r="G19" s="164" t="s">
        <v>435</v>
      </c>
      <c r="H19" s="164" t="s">
        <v>522</v>
      </c>
      <c r="I19" s="2445"/>
      <c r="M19" s="139">
        <v>21</v>
      </c>
    </row>
    <row customHeight="1" ht="12" hidden="1">
      <c r="C20" s="152"/>
      <c r="D20" s="143"/>
      <c r="E20" s="143"/>
      <c r="F20" s="143"/>
      <c r="G20" s="143"/>
      <c r="H20" s="143"/>
      <c r="I20" s="143"/>
      <c r="M20" s="139">
        <v>0</v>
      </c>
    </row>
    <row customHeight="1" ht="14.699999999999998">
      <c r="A21" s="1739"/>
      <c r="C21" s="152"/>
      <c r="D21" s="203">
        <v>1</v>
      </c>
      <c r="E21" s="2517" t="s">
        <v>1264</v>
      </c>
      <c r="F21" s="2517"/>
      <c r="G21" s="2517"/>
      <c r="H21" s="2517"/>
      <c r="I21" s="264"/>
      <c r="M21" s="139">
        <v>14</v>
      </c>
    </row>
    <row customHeight="1" ht="21">
      <c r="A22" s="1739"/>
      <c r="C22" s="152"/>
      <c r="D22" s="203" t="s">
        <v>1154</v>
      </c>
      <c r="E22" s="250" t="s">
        <v>1265</v>
      </c>
      <c r="F22" s="254"/>
      <c r="G22" s="12947">
        <v>45162</v>
      </c>
      <c r="H22" s="254" t="s">
        <v>438</v>
      </c>
      <c r="I22" s="207" t="s">
        <v>1266</v>
      </c>
      <c r="M22" s="139">
        <v>20</v>
      </c>
    </row>
    <row customHeight="1" ht="60">
      <c r="A23" s="1739"/>
      <c r="C23" s="152"/>
      <c r="D23" s="203" t="s">
        <v>1156</v>
      </c>
      <c r="E23" s="250" t="s">
        <v>1267</v>
      </c>
      <c r="F23" s="254"/>
      <c r="G23" s="12948" t="s">
        <v>1268</v>
      </c>
      <c r="H23" s="12949" t="s">
        <v>1269</v>
      </c>
      <c r="I23" s="314" t="s">
        <v>1270</v>
      </c>
      <c r="M23" s="139">
        <v>57</v>
      </c>
    </row>
    <row customHeight="1" ht="14.699999999999998">
      <c r="A24" s="1739"/>
      <c r="B24" s="202">
        <v>3</v>
      </c>
      <c r="C24" s="152"/>
      <c r="D24" s="203">
        <v>2</v>
      </c>
      <c r="E24" s="27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254"/>
      <c r="G24" s="254" t="s">
        <v>438</v>
      </c>
      <c r="H24" s="12949" t="s">
        <v>1271</v>
      </c>
      <c r="I24" s="315" t="s">
        <v>764</v>
      </c>
      <c r="M24" s="139">
        <v>14</v>
      </c>
    </row>
    <row customHeight="1" ht="48.29999999999999">
      <c r="A25" s="1739"/>
      <c r="C25" s="152"/>
      <c r="D25" s="203">
        <v>3</v>
      </c>
      <c r="E25" s="251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16"/>
      <c r="G25" s="2516"/>
      <c r="H25" s="2516"/>
      <c r="I25" s="312"/>
      <c r="M25" s="139">
        <v>46</v>
      </c>
    </row>
    <row customHeight="1" ht="14.699999999999998">
      <c r="A26" s="1739"/>
      <c r="C26" s="152"/>
      <c r="D26" s="203" t="s">
        <v>456</v>
      </c>
      <c r="E26" s="12955" t="s">
        <v>1272</v>
      </c>
      <c r="F26" s="254"/>
      <c r="G26" s="254" t="s">
        <v>438</v>
      </c>
      <c r="H26" s="12949" t="s">
        <v>1273</v>
      </c>
      <c r="I26" s="2225" t="s">
        <v>1274</v>
      </c>
      <c r="M26" s="139">
        <v>14</v>
      </c>
    </row>
    <row customHeight="1" ht="15.75">
      <c r="A27" s="1739" t="s">
        <v>191</v>
      </c>
      <c r="C27" s="152"/>
      <c r="D27" s="165"/>
      <c r="E27" s="259" t="s">
        <v>454</v>
      </c>
      <c r="F27" s="260"/>
      <c r="G27" s="260"/>
      <c r="H27" s="257"/>
      <c r="I27" s="2227"/>
      <c r="M27" s="139">
        <v>15</v>
      </c>
    </row>
    <row customHeight="1" ht="39.75">
      <c r="A28" s="1739"/>
      <c r="B28" s="202">
        <v>3</v>
      </c>
      <c r="C28" s="152"/>
      <c r="D28" s="203">
        <v>4</v>
      </c>
      <c r="E28" s="251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516"/>
      <c r="G28" s="2516"/>
      <c r="H28" s="2516"/>
      <c r="I28" s="312"/>
      <c r="M28" s="139">
        <v>38</v>
      </c>
    </row>
    <row customHeight="1" ht="21">
      <c r="A29" s="1739"/>
      <c r="C29" s="152"/>
      <c r="D29" s="203" t="s">
        <v>886</v>
      </c>
      <c r="E29" s="261" t="s">
        <v>1259</v>
      </c>
      <c r="F29" s="254"/>
      <c r="G29" s="12948" t="s">
        <v>1275</v>
      </c>
      <c r="H29" s="254" t="s">
        <v>438</v>
      </c>
      <c r="I29" s="2225" t="s">
        <v>1276</v>
      </c>
      <c r="M29" s="139">
        <v>20</v>
      </c>
    </row>
    <row customHeight="1" ht="15.75">
      <c r="A30" s="1739" t="s">
        <v>108</v>
      </c>
      <c r="C30" s="152"/>
      <c r="D30" s="165"/>
      <c r="E30" s="259" t="s">
        <v>454</v>
      </c>
      <c r="F30" s="260"/>
      <c r="G30" s="260"/>
      <c r="H30" s="257"/>
      <c r="I30" s="2227"/>
      <c r="M30" s="139">
        <v>15</v>
      </c>
    </row>
    <row customHeight="1" ht="31.5">
      <c r="A31" s="1739"/>
      <c r="B31" s="202">
        <v>3</v>
      </c>
      <c r="C31" s="152"/>
      <c r="D31" s="203">
        <v>5</v>
      </c>
      <c r="E31" s="251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516"/>
      <c r="G31" s="2516"/>
      <c r="H31" s="2516"/>
      <c r="I31" s="312"/>
      <c r="M31" s="139">
        <v>30</v>
      </c>
    </row>
    <row customHeight="1" ht="27.299999999999997">
      <c r="A32" s="1739"/>
      <c r="C32" s="152"/>
      <c r="D32" s="203" t="s">
        <v>445</v>
      </c>
      <c r="E32" s="245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59"/>
      <c r="G32" s="2459"/>
      <c r="H32" s="2459"/>
      <c r="I32" s="312"/>
      <c r="M32" s="139">
        <v>26</v>
      </c>
    </row>
    <row customHeight="1" ht="14.699999999999998">
      <c r="A33" s="1739"/>
      <c r="C33" s="152"/>
      <c r="D33" s="203" t="s">
        <v>1277</v>
      </c>
      <c r="E33" s="262" t="s">
        <v>1260</v>
      </c>
      <c r="F33" s="254"/>
      <c r="G33" s="313" t="s">
        <v>83</v>
      </c>
      <c r="H33" s="254" t="s">
        <v>438</v>
      </c>
      <c r="I33" s="2225" t="s">
        <v>1278</v>
      </c>
      <c r="M33" s="139">
        <v>14</v>
      </c>
    </row>
    <row customHeight="1" ht="15.75">
      <c r="A34" s="1739" t="s">
        <v>94</v>
      </c>
      <c r="C34" s="152"/>
      <c r="D34" s="165"/>
      <c r="E34" s="260" t="s">
        <v>454</v>
      </c>
      <c r="F34" s="256"/>
      <c r="G34" s="256"/>
      <c r="H34" s="257"/>
      <c r="I34" s="2227"/>
      <c r="M34" s="139">
        <v>15</v>
      </c>
    </row>
    <row customHeight="1" ht="25.2">
      <c r="A35" s="1739"/>
      <c r="C35" s="152"/>
      <c r="D35" s="203" t="s">
        <v>1014</v>
      </c>
      <c r="E35" s="245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59"/>
      <c r="G35" s="2459"/>
      <c r="H35" s="2459"/>
      <c r="I35" s="312"/>
      <c r="M35" s="139">
        <v>24</v>
      </c>
    </row>
    <row customHeight="1" ht="14.699999999999998">
      <c r="A36" s="1739"/>
      <c r="C36" s="152"/>
      <c r="D36" s="203" t="s">
        <v>1279</v>
      </c>
      <c r="E36" s="262" t="s">
        <v>1261</v>
      </c>
      <c r="F36" s="254"/>
      <c r="G36" s="12948" t="s">
        <v>1280</v>
      </c>
      <c r="H36" s="254" t="s">
        <v>438</v>
      </c>
      <c r="I36" s="2199" t="s">
        <v>1281</v>
      </c>
      <c r="M36" s="139">
        <v>14</v>
      </c>
    </row>
    <row customHeight="1" ht="15.75">
      <c r="A37" s="1739" t="s">
        <v>95</v>
      </c>
      <c r="C37" s="152"/>
      <c r="D37" s="165"/>
      <c r="E37" s="260" t="s">
        <v>454</v>
      </c>
      <c r="F37" s="256"/>
      <c r="G37" s="256"/>
      <c r="H37" s="257"/>
      <c r="I37" s="2199"/>
      <c r="M37" s="139">
        <v>15</v>
      </c>
    </row>
    <row customHeight="1" ht="27.299999999999997">
      <c r="A38" s="1739"/>
      <c r="C38" s="152"/>
      <c r="D38" s="203" t="s">
        <v>1015</v>
      </c>
      <c r="E38" s="245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59"/>
      <c r="G38" s="2459"/>
      <c r="H38" s="2459"/>
      <c r="I38" s="312"/>
      <c r="M38" s="139">
        <v>26</v>
      </c>
    </row>
    <row customHeight="1" ht="14.699999999999998">
      <c r="A39" s="1739"/>
      <c r="C39" s="152"/>
      <c r="D39" s="203" t="s">
        <v>1016</v>
      </c>
      <c r="E39" s="262" t="s">
        <v>1262</v>
      </c>
      <c r="F39" s="254"/>
      <c r="G39" s="263" t="s">
        <v>1282</v>
      </c>
      <c r="H39" s="254" t="s">
        <v>438</v>
      </c>
      <c r="I39" s="2225" t="s">
        <v>1283</v>
      </c>
      <c r="L39" s="211" t="s">
        <v>1263</v>
      </c>
      <c r="M39" s="139">
        <v>14</v>
      </c>
    </row>
    <row customHeight="1" ht="15.75">
      <c r="A40" s="1739" t="s">
        <v>122</v>
      </c>
      <c r="C40" s="152"/>
      <c r="D40" s="165"/>
      <c r="E40" s="260" t="s">
        <v>454</v>
      </c>
      <c r="F40" s="256"/>
      <c r="G40" s="256"/>
      <c r="H40" s="257"/>
      <c r="I40" s="2227"/>
      <c r="M40" s="139">
        <v>15</v>
      </c>
    </row>
    <row s="12959" customFormat="1" customHeight="1" ht="3">
      <c r="A41" s="1739"/>
      <c r="K41" s="252"/>
      <c r="L41" s="252"/>
      <c r="M41" s="196">
        <v>3</v>
      </c>
    </row>
    <row customHeight="1" ht="26.25">
      <c r="D42" s="1737" t="s">
        <v>936</v>
      </c>
      <c r="E42" s="234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41"/>
      <c r="G42" s="2341"/>
      <c r="H42" s="2341"/>
      <c r="I42" s="2341"/>
      <c r="M42" s="139">
        <v>25</v>
      </c>
    </row>
    <row customHeight="1" ht="22.5" hidden="1">
      <c r="A43" s="1418" t="s">
        <v>86</v>
      </c>
      <c r="B43" s="202">
        <v>0</v>
      </c>
      <c r="C43" s="153">
        <v>3</v>
      </c>
      <c r="D43" s="139">
        <v>6</v>
      </c>
      <c r="E43" s="139">
        <v>63</v>
      </c>
      <c r="F43" s="139">
        <v>0</v>
      </c>
      <c r="G43" s="139">
        <v>35</v>
      </c>
      <c r="H43" s="139">
        <v>35</v>
      </c>
      <c r="I43" s="139">
        <v>91</v>
      </c>
      <c r="J43" s="139">
        <v>68</v>
      </c>
      <c r="K43" s="211">
        <v>10</v>
      </c>
      <c r="L43" s="211">
        <v>10</v>
      </c>
      <c r="M43" s="139">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975049-BF58-408D-AB9E-2021AE69ADEE}" mc:Ignorable="x14ac xr xr2 xr3">
  <sheetPr>
    <tabColor theme="6" tint="0.4"/>
  </sheetPr>
  <dimension ref="A1:AH332"/>
  <sheetViews>
    <sheetView topLeftCell="A1" showGridLines="0" zoomScale="90" workbookViewId="0">
      <selection activeCell="A1" sqref="A1"/>
    </sheetView>
  </sheetViews>
  <sheetFormatPr defaultColWidth="10.57421875" customHeight="1" defaultRowHeight="14.25"/>
  <cols>
    <col min="1" max="2" style="12962" width="25.140625" hidden="1" customWidth="1"/>
    <col min="3" max="3" style="3388" width="9.140625" hidden="1" customWidth="1"/>
    <col min="4" max="4" style="3677" width="3.00390625" customWidth="1"/>
    <col min="5" max="5" style="2774" width="6.00390625" customWidth="1"/>
    <col min="6" max="6" style="2774" width="46.7109375" customWidth="1"/>
    <col min="7" max="7" style="2774" width="35.00390625" customWidth="1"/>
    <col min="8" max="8" style="2774" width="3.00390625" customWidth="1"/>
    <col min="9" max="10" style="2774" width="11.00390625" customWidth="1"/>
    <col min="11" max="12" style="2774" width="35.00390625" customWidth="1"/>
    <col min="13" max="13" style="2774" width="84.00390625" customWidth="1"/>
    <col min="14" max="14" style="2774" width="10.00390625" customWidth="1"/>
    <col min="15" max="16" style="2933" width="10.00390625" customWidth="1"/>
    <col min="17" max="33" style="2774" width="10.00390625" customWidth="1"/>
    <col min="34" max="34" style="2774" width="10.57421875" hidden="1"/>
  </cols>
  <sheetData>
    <row s="2774" customFormat="1" customHeight="1" ht="22.5" hidden="1">
      <c r="A1" s="1835"/>
      <c r="B1" s="1835"/>
      <c r="C1" s="425"/>
      <c r="D1" s="400"/>
      <c r="N1" s="1692">
        <f>_xlfn.IFERROR(MATCH("метод экономически обоснованных расходов (затрат)",OFFER_METHOD,0),0)</f>
        <v>0</v>
      </c>
      <c r="O1" s="1680"/>
      <c r="P1" s="1680"/>
      <c r="T1" s="887"/>
      <c r="AG1" s="311"/>
      <c r="AH1" s="1687" t="s">
        <v>14</v>
      </c>
    </row>
    <row s="2774" customFormat="1" customHeight="1" ht="18.75" hidden="1">
      <c r="A2" s="1836" t="s">
        <v>228</v>
      </c>
      <c r="B2" s="1836" t="s">
        <v>229</v>
      </c>
      <c r="C2" s="425"/>
      <c r="D2" s="400"/>
      <c r="E2" s="1087"/>
      <c r="F2" s="1087"/>
      <c r="G2" s="2483" t="str">
        <f>INDEX(PT_DIFFERENTIATION_NTAR,MATCH(B2,PT_DIFFERENTIATION_NTAR_ID,0))</f>
        <v/>
      </c>
      <c r="H2" s="1920"/>
      <c r="I2" s="1795"/>
      <c r="J2" s="1829"/>
      <c r="K2" s="1921"/>
      <c r="L2" s="1920" t="s">
        <v>438</v>
      </c>
      <c r="M2" s="1931"/>
      <c r="N2" s="390"/>
      <c r="O2" s="1680"/>
      <c r="P2" s="1680"/>
      <c r="AH2" s="1687">
        <v>0</v>
      </c>
    </row>
    <row s="2774" customFormat="1" customHeight="1" ht="18.75" hidden="1">
      <c r="A3" s="1836"/>
      <c r="B3" s="1836"/>
      <c r="C3" s="425" t="s">
        <v>1284</v>
      </c>
      <c r="D3" s="400"/>
      <c r="E3" s="1087"/>
      <c r="F3" s="1087"/>
      <c r="G3" s="2483"/>
      <c r="H3" s="1556"/>
      <c r="I3" s="707" t="s">
        <v>1285</v>
      </c>
      <c r="J3" s="627"/>
      <c r="K3" s="1556"/>
      <c r="L3" s="270"/>
      <c r="M3" s="1931"/>
      <c r="N3" s="390"/>
      <c r="O3" s="1680"/>
      <c r="P3" s="1680"/>
      <c r="AH3" s="1687">
        <v>0</v>
      </c>
    </row>
    <row s="2774" customFormat="1" customHeight="1" ht="14.25" hidden="1">
      <c r="A4" s="1835"/>
      <c r="B4" s="1835"/>
      <c r="C4" s="425"/>
      <c r="D4" s="400"/>
      <c r="N4" s="1692">
        <f>_xlfn.IFERROR(MATCH("метод экономически обоснованных расходов (затрат)",OFFER_METHOD,0),0)</f>
        <v>0</v>
      </c>
      <c r="O4" s="1680"/>
      <c r="P4" s="1680"/>
      <c r="T4" s="887"/>
      <c r="AG4" s="311"/>
      <c r="AH4" s="1687">
        <v>0</v>
      </c>
    </row>
    <row s="2774" customFormat="1" customHeight="1" ht="18.75" hidden="1">
      <c r="A5" s="1836" t="s">
        <v>228</v>
      </c>
      <c r="B5" s="1836" t="s">
        <v>229</v>
      </c>
      <c r="C5" s="425"/>
      <c r="D5" s="400"/>
      <c r="E5" s="1087"/>
      <c r="F5" s="1087"/>
      <c r="G5" s="2483" t="str">
        <f>INDEX(PT_DIFFERENTIATION_NTAR,MATCH(B5,PT_DIFFERENTIATION_NTAR_ID,0))</f>
        <v/>
      </c>
      <c r="H5" s="1920"/>
      <c r="I5" s="1795"/>
      <c r="J5" s="1829"/>
      <c r="K5" s="1834"/>
      <c r="L5" s="1920" t="s">
        <v>438</v>
      </c>
      <c r="M5" s="1931"/>
      <c r="N5" s="390"/>
      <c r="O5" s="1680"/>
      <c r="P5" s="1680"/>
      <c r="AH5" s="1687">
        <v>0</v>
      </c>
    </row>
    <row s="2774" customFormat="1" customHeight="1" ht="18.75" hidden="1">
      <c r="A6" s="1836"/>
      <c r="B6" s="1836"/>
      <c r="C6" s="425" t="s">
        <v>1286</v>
      </c>
      <c r="D6" s="400"/>
      <c r="E6" s="1087"/>
      <c r="F6" s="1087"/>
      <c r="G6" s="2483"/>
      <c r="H6" s="1556"/>
      <c r="I6" s="707" t="s">
        <v>1285</v>
      </c>
      <c r="J6" s="627"/>
      <c r="K6" s="1556"/>
      <c r="L6" s="270"/>
      <c r="M6" s="1931"/>
      <c r="N6" s="390"/>
      <c r="O6" s="1680"/>
      <c r="P6" s="1680"/>
      <c r="AH6" s="1687">
        <v>0</v>
      </c>
    </row>
    <row s="2774" customFormat="1" customHeight="1" ht="14.25" hidden="1">
      <c r="A7" s="1835"/>
      <c r="B7" s="1835"/>
      <c r="C7" s="425"/>
      <c r="D7" s="400"/>
      <c r="N7" s="1692">
        <f>_xlfn.IFERROR(MATCH("метод экономически обоснованных расходов (затрат)",OFFER_METHOD,0),0)</f>
        <v>0</v>
      </c>
      <c r="O7" s="1680"/>
      <c r="P7" s="1680"/>
      <c r="T7" s="887"/>
      <c r="AG7" s="311"/>
      <c r="AH7" s="1687">
        <v>0</v>
      </c>
    </row>
    <row s="2774" customFormat="1" customHeight="1" ht="56.25" hidden="1">
      <c r="A8" s="1836"/>
      <c r="B8" s="1836"/>
      <c r="C8" s="425"/>
      <c r="D8" s="400"/>
      <c r="E8" s="1087"/>
      <c r="F8" s="1087"/>
      <c r="G8" s="1087"/>
      <c r="H8" s="1827"/>
      <c r="I8" s="1795"/>
      <c r="J8" s="1829"/>
      <c r="K8" s="1921"/>
      <c r="L8" s="1827" t="s">
        <v>438</v>
      </c>
      <c r="M8" s="1931"/>
      <c r="N8" s="390"/>
      <c r="O8" s="1680"/>
      <c r="P8" s="1680"/>
      <c r="AH8" s="1687">
        <v>0</v>
      </c>
    </row>
    <row customHeight="1" ht="14.25" hidden="1">
      <c r="T9" s="453"/>
      <c r="AG9" s="311"/>
      <c r="AH9" s="430">
        <v>0</v>
      </c>
    </row>
    <row s="2774" customFormat="1" customHeight="1" ht="56.25" hidden="1">
      <c r="A10" s="1836"/>
      <c r="B10" s="1836"/>
      <c r="C10" s="425"/>
      <c r="D10" s="400"/>
      <c r="E10" s="1087"/>
      <c r="F10" s="1087"/>
      <c r="G10" s="1087"/>
      <c r="H10" s="1826"/>
      <c r="I10" s="1795"/>
      <c r="J10" s="1829"/>
      <c r="K10" s="1834"/>
      <c r="L10" s="1827" t="s">
        <v>438</v>
      </c>
      <c r="M10" s="1931"/>
      <c r="N10" s="390"/>
      <c r="O10" s="1680"/>
      <c r="P10" s="1680"/>
      <c r="AH10" s="1687">
        <v>0</v>
      </c>
    </row>
    <row customHeight="1" ht="14.25" hidden="1">
      <c r="AH11" s="430">
        <v>0</v>
      </c>
    </row>
    <row customHeight="1" ht="14.25" hidden="1">
      <c r="AH12" s="430">
        <v>0</v>
      </c>
    </row>
    <row customHeight="1" ht="6.3">
      <c r="D13" s="432"/>
      <c r="E13" s="419"/>
      <c r="F13" s="419"/>
      <c r="G13" s="419"/>
      <c r="H13" s="419"/>
      <c r="I13" s="419"/>
      <c r="J13" s="419"/>
      <c r="K13" s="419"/>
      <c r="L13" s="141"/>
      <c r="M13" s="141"/>
      <c r="AH13" s="430">
        <v>6</v>
      </c>
    </row>
    <row customHeight="1" ht="14.699999999999998">
      <c r="D14" s="432"/>
      <c r="E14" s="2521"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521"/>
      <c r="G14" s="2521"/>
      <c r="H14" s="2521"/>
      <c r="I14" s="2521"/>
      <c r="J14" s="2521"/>
      <c r="K14" s="2521"/>
      <c r="L14" s="2521"/>
      <c r="M14" s="276"/>
      <c r="AH14" s="430">
        <v>14</v>
      </c>
    </row>
    <row customHeight="1" ht="6.3">
      <c r="D15" s="432"/>
      <c r="E15" s="419"/>
      <c r="F15" s="445"/>
      <c r="G15" s="445"/>
      <c r="H15" s="445"/>
      <c r="I15" s="445"/>
      <c r="J15" s="445"/>
      <c r="K15" s="445"/>
      <c r="L15" s="378"/>
      <c r="M15" s="249"/>
      <c r="AH15" s="430">
        <v>6</v>
      </c>
    </row>
    <row customHeight="1" ht="24">
      <c r="D16" s="432"/>
      <c r="E16" s="419"/>
      <c r="F16" s="361" t="str">
        <f>"Дата подачи заявления об "&amp;IF(TITLE_DATE_PR_CHANGE="","утверждении","изменении")&amp;" тарифов"</f>
        <v>Дата подачи заявления об изменении тарифов</v>
      </c>
      <c r="G16" s="2320" t="str">
        <f>IF(TITLE_DATE_PR_CHANGE="",IF(TITLE_DATE_PR="","",TITLE_DATE_PR),TITLE_DATE_PR_CHANGE)</f>
        <v>45645</v>
      </c>
      <c r="H16" s="2320"/>
      <c r="I16" s="2320"/>
      <c r="J16" s="2320"/>
      <c r="K16" s="2320"/>
      <c r="L16" s="2320"/>
      <c r="M16" s="454"/>
      <c r="N16" s="382"/>
      <c r="AH16" s="430">
        <v>23</v>
      </c>
    </row>
    <row customHeight="1" ht="24">
      <c r="D17" s="432"/>
      <c r="E17" s="419"/>
      <c r="F17" s="361" t="str">
        <f>"Номер подачи заявления об "&amp;IF(TITLE_DATE_PR_CHANGE="","утверждении","изменении")&amp;" тарифов"</f>
        <v>Номер подачи заявления об изменении тарифов</v>
      </c>
      <c r="G17" s="2307" t="str">
        <f>IF(TITLE_NUMBER_PR_CHANGE="",IF(TITLE_NUMBER_PR="","",TITLE_NUMBER_PR),TITLE_NUMBER_PR_CHANGE)</f>
        <v>208-вод</v>
      </c>
      <c r="H17" s="2307"/>
      <c r="I17" s="2307"/>
      <c r="J17" s="2307"/>
      <c r="K17" s="2307"/>
      <c r="L17" s="2307"/>
      <c r="M17" s="454"/>
      <c r="N17" s="382"/>
      <c r="AH17" s="430">
        <v>23</v>
      </c>
    </row>
    <row customHeight="1" ht="14.699999999999998">
      <c r="D18" s="432"/>
      <c r="E18" s="419"/>
      <c r="F18" s="445"/>
      <c r="G18" s="445"/>
      <c r="H18" s="445"/>
      <c r="I18" s="445"/>
      <c r="J18" s="445"/>
      <c r="K18" s="445"/>
      <c r="L18" s="808"/>
      <c r="M18" s="249"/>
      <c r="AH18" s="430">
        <v>14</v>
      </c>
    </row>
    <row customHeight="1" ht="22.049999999999997">
      <c r="D19" s="432"/>
      <c r="E19" s="2265" t="s">
        <v>432</v>
      </c>
      <c r="F19" s="2265"/>
      <c r="G19" s="2265"/>
      <c r="H19" s="2265"/>
      <c r="I19" s="2265"/>
      <c r="J19" s="2265"/>
      <c r="K19" s="2265"/>
      <c r="L19" s="2265"/>
      <c r="M19" s="2445" t="s">
        <v>433</v>
      </c>
      <c r="AH19" s="430">
        <v>21</v>
      </c>
    </row>
    <row customHeight="1" ht="22.049999999999997">
      <c r="D20" s="432"/>
      <c r="E20" s="2333" t="s">
        <v>92</v>
      </c>
      <c r="F20" s="2280" t="s">
        <v>201</v>
      </c>
      <c r="G20" s="2280" t="s">
        <v>202</v>
      </c>
      <c r="H20" s="2442" t="s">
        <v>1287</v>
      </c>
      <c r="I20" s="2443"/>
      <c r="J20" s="2489"/>
      <c r="K20" s="2280" t="s">
        <v>435</v>
      </c>
      <c r="L20" s="2280" t="s">
        <v>522</v>
      </c>
      <c r="M20" s="2445"/>
      <c r="AH20" s="430">
        <v>21</v>
      </c>
    </row>
    <row customHeight="1" ht="22.049999999999997">
      <c r="D21" s="432"/>
      <c r="E21" s="2335"/>
      <c r="F21" s="2281"/>
      <c r="G21" s="2281"/>
      <c r="H21" s="2274" t="s">
        <v>1288</v>
      </c>
      <c r="I21" s="2276"/>
      <c r="J21" s="164" t="s">
        <v>1289</v>
      </c>
      <c r="K21" s="2281"/>
      <c r="L21" s="2281"/>
      <c r="M21" s="2445"/>
      <c r="AH21" s="430">
        <v>21</v>
      </c>
    </row>
    <row customHeight="1" ht="12.75">
      <c r="D22" s="432"/>
      <c r="E22" s="337"/>
      <c r="F22" s="337"/>
      <c r="G22" s="337"/>
      <c r="H22" s="2523"/>
      <c r="I22" s="2523"/>
      <c r="J22" s="337"/>
      <c r="K22" s="337"/>
      <c r="L22" s="337"/>
      <c r="M22" s="337"/>
      <c r="AH22" s="430">
        <v>12</v>
      </c>
    </row>
    <row customHeight="1" ht="19.95">
      <c r="A23" s="1836"/>
      <c r="B23" s="1836"/>
      <c r="D23" s="432"/>
      <c r="E23" s="1922" t="s">
        <v>191</v>
      </c>
      <c r="F23" s="2524" t="str">
        <f>"Предлагаемый метод регулирования"&amp;IF(TEMPLATE_SPHERE="HEAT"," в сфере "&amp;TEMPLATE_SPHERE_RUS,"")</f>
        <v>Предлагаемый метод регулирования</v>
      </c>
      <c r="G23" s="2525"/>
      <c r="H23" s="2517"/>
      <c r="I23" s="2517"/>
      <c r="J23" s="2517"/>
      <c r="K23" s="2525" t="s">
        <v>438</v>
      </c>
      <c r="L23" s="2517"/>
      <c r="M23" s="1825"/>
      <c r="N23" s="390"/>
      <c r="AH23" s="430">
        <v>19</v>
      </c>
    </row>
    <row customHeight="1" ht="60.75" hidden="1">
      <c r="A24" s="1836" t="s">
        <v>228</v>
      </c>
      <c r="B24" s="1836" t="s">
        <v>229</v>
      </c>
      <c r="D24" s="2522"/>
      <c r="E24" s="2260"/>
      <c r="F24" s="252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83" t="str">
        <f>INDEX(PT_DIFFERENTIATION_NTAR,MATCH(B24,PT_DIFFERENTIATION_NTAR_ID,0))</f>
        <v/>
      </c>
      <c r="H24" s="1918"/>
      <c r="I24" s="1795"/>
      <c r="J24" s="1829"/>
      <c r="K24" s="1921"/>
      <c r="L24" s="1824" t="s">
        <v>438</v>
      </c>
      <c r="M24" s="2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90"/>
      <c r="AH24" s="430">
        <v>0</v>
      </c>
    </row>
    <row s="2774" customFormat="1" customHeight="1" ht="18.75" hidden="1">
      <c r="A25" s="1836"/>
      <c r="B25" s="1836"/>
      <c r="C25" s="425" t="s">
        <v>1284</v>
      </c>
      <c r="D25" s="2522"/>
      <c r="E25" s="2260"/>
      <c r="F25" s="2526"/>
      <c r="G25" s="2483"/>
      <c r="H25" s="1556"/>
      <c r="I25" s="707" t="s">
        <v>1285</v>
      </c>
      <c r="J25" s="627"/>
      <c r="K25" s="1556"/>
      <c r="L25" s="270"/>
      <c r="M25" s="2226"/>
      <c r="N25" s="390"/>
      <c r="O25" s="1680"/>
      <c r="P25" s="1680"/>
      <c r="AH25" s="1687">
        <v>0</v>
      </c>
    </row>
    <row customHeight="1" ht="0.75" hidden="1">
      <c r="A26" s="1836"/>
      <c r="B26" s="1836"/>
      <c r="C26" s="425" t="s">
        <v>1290</v>
      </c>
      <c r="D26" s="2522"/>
      <c r="E26" s="2260"/>
      <c r="F26" s="2439"/>
      <c r="G26" s="456"/>
      <c r="H26" s="1556"/>
      <c r="I26" s="451"/>
      <c r="J26" s="405"/>
      <c r="K26" s="1556"/>
      <c r="L26" s="257"/>
      <c r="M26" s="2226"/>
      <c r="N26" s="390"/>
      <c r="AH26" s="430">
        <v>0</v>
      </c>
    </row>
    <row s="2774" customFormat="1" customHeight="1" ht="45" hidden="1">
      <c r="A27" s="1836" t="s">
        <v>233</v>
      </c>
      <c r="B27" s="1836" t="s">
        <v>234</v>
      </c>
      <c r="C27" s="425"/>
      <c r="D27" s="2518"/>
      <c r="E27" s="2519"/>
      <c r="F27" s="2520" t="str">
        <f>INDEX(PT_DIFFERENTIATION_VTAR,MATCH(A27,PT_DIFFERENTIATION_VTAR_ID,0))</f>
        <v/>
      </c>
      <c r="G27" s="2483" t="str">
        <f>INDEX(PT_DIFFERENTIATION_NTAR,MATCH(B27,PT_DIFFERENTIATION_NTAR_ID,0))</f>
        <v/>
      </c>
      <c r="H27" s="1918"/>
      <c r="I27" s="1795"/>
      <c r="J27" s="1829"/>
      <c r="K27" s="1921"/>
      <c r="L27" s="1918" t="s">
        <v>438</v>
      </c>
      <c r="M27" s="2226"/>
      <c r="N27" s="390"/>
      <c r="O27" s="1680"/>
      <c r="P27" s="1680"/>
      <c r="AH27" s="1687">
        <v>0</v>
      </c>
    </row>
    <row s="2774" customFormat="1" customHeight="1" ht="18.75" hidden="1">
      <c r="A28" s="1836"/>
      <c r="B28" s="1836"/>
      <c r="C28" s="425" t="s">
        <v>1284</v>
      </c>
      <c r="D28" s="2518"/>
      <c r="E28" s="2519"/>
      <c r="F28" s="2520"/>
      <c r="G28" s="2483"/>
      <c r="H28" s="1556"/>
      <c r="I28" s="707" t="s">
        <v>1285</v>
      </c>
      <c r="J28" s="627"/>
      <c r="K28" s="1556"/>
      <c r="L28" s="270"/>
      <c r="M28" s="2226"/>
      <c r="N28" s="390"/>
      <c r="O28" s="1680"/>
      <c r="P28" s="1680"/>
      <c r="AH28" s="1687">
        <v>0</v>
      </c>
    </row>
    <row s="2774" customFormat="1" customHeight="1" ht="0.75" hidden="1">
      <c r="A29" s="1836"/>
      <c r="B29" s="1836"/>
      <c r="C29" s="425" t="s">
        <v>1290</v>
      </c>
      <c r="D29" s="2518"/>
      <c r="E29" s="2260"/>
      <c r="F29" s="2439"/>
      <c r="G29" s="456"/>
      <c r="H29" s="1556"/>
      <c r="I29" s="707"/>
      <c r="J29" s="627"/>
      <c r="K29" s="1556"/>
      <c r="L29" s="270"/>
      <c r="M29" s="2226"/>
      <c r="N29" s="390"/>
      <c r="O29" s="1680"/>
      <c r="P29" s="1680"/>
      <c r="AH29" s="1687">
        <v>0</v>
      </c>
    </row>
    <row s="2774" customFormat="1" customHeight="1" ht="45" hidden="1">
      <c r="A30" s="1836" t="s">
        <v>240</v>
      </c>
      <c r="B30" s="1836" t="s">
        <v>241</v>
      </c>
      <c r="C30" s="425"/>
      <c r="D30" s="2518"/>
      <c r="E30" s="2260"/>
      <c r="F30" s="2439"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83" t="str">
        <f>INDEX(PT_DIFFERENTIATION_NTAR,MATCH(B30,PT_DIFFERENTIATION_NTAR_ID,0))</f>
        <v/>
      </c>
      <c r="H30" s="1918"/>
      <c r="I30" s="1795"/>
      <c r="J30" s="1829"/>
      <c r="K30" s="1921"/>
      <c r="L30" s="1918" t="s">
        <v>438</v>
      </c>
      <c r="M30" s="2226"/>
      <c r="N30" s="390"/>
      <c r="O30" s="1680"/>
      <c r="P30" s="1680"/>
      <c r="AH30" s="1687">
        <v>0</v>
      </c>
    </row>
    <row s="2774" customFormat="1" customHeight="1" ht="18.75" hidden="1">
      <c r="A31" s="1836"/>
      <c r="B31" s="1836"/>
      <c r="C31" s="425" t="s">
        <v>1284</v>
      </c>
      <c r="D31" s="2518"/>
      <c r="E31" s="2260"/>
      <c r="F31" s="2439"/>
      <c r="G31" s="2483"/>
      <c r="H31" s="1556"/>
      <c r="I31" s="707" t="s">
        <v>1285</v>
      </c>
      <c r="J31" s="627"/>
      <c r="K31" s="1556"/>
      <c r="L31" s="270"/>
      <c r="M31" s="2226"/>
      <c r="N31" s="390"/>
      <c r="O31" s="1680"/>
      <c r="P31" s="1680"/>
      <c r="AH31" s="1687">
        <v>0</v>
      </c>
    </row>
    <row s="2774" customFormat="1" customHeight="1" ht="0.75" hidden="1">
      <c r="A32" s="1836"/>
      <c r="B32" s="1836"/>
      <c r="C32" s="425" t="s">
        <v>1290</v>
      </c>
      <c r="D32" s="2518"/>
      <c r="E32" s="2260"/>
      <c r="F32" s="2439"/>
      <c r="G32" s="456"/>
      <c r="H32" s="1556"/>
      <c r="I32" s="707"/>
      <c r="J32" s="627"/>
      <c r="K32" s="1556"/>
      <c r="L32" s="270"/>
      <c r="M32" s="2226"/>
      <c r="N32" s="390"/>
      <c r="O32" s="1680"/>
      <c r="P32" s="1680"/>
      <c r="AH32" s="1687">
        <v>0</v>
      </c>
    </row>
    <row s="2774" customFormat="1" customHeight="1" ht="45" hidden="1">
      <c r="A33" s="1836" t="s">
        <v>246</v>
      </c>
      <c r="B33" s="1836" t="s">
        <v>247</v>
      </c>
      <c r="C33" s="425"/>
      <c r="D33" s="2518"/>
      <c r="E33" s="2260"/>
      <c r="F33" s="2439"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83" t="str">
        <f>INDEX(PT_DIFFERENTIATION_NTAR,MATCH(B33,PT_DIFFERENTIATION_NTAR_ID,0))</f>
        <v/>
      </c>
      <c r="H33" s="1918"/>
      <c r="I33" s="1795"/>
      <c r="J33" s="1829"/>
      <c r="K33" s="1921"/>
      <c r="L33" s="1918" t="s">
        <v>438</v>
      </c>
      <c r="M33" s="2226"/>
      <c r="N33" s="390"/>
      <c r="O33" s="1680"/>
      <c r="P33" s="1680"/>
      <c r="AH33" s="1687">
        <v>0</v>
      </c>
    </row>
    <row s="2774" customFormat="1" customHeight="1" ht="18.75" hidden="1">
      <c r="A34" s="1836"/>
      <c r="B34" s="1836"/>
      <c r="C34" s="425" t="s">
        <v>1284</v>
      </c>
      <c r="D34" s="2518"/>
      <c r="E34" s="2260"/>
      <c r="F34" s="2439"/>
      <c r="G34" s="2483"/>
      <c r="H34" s="1556"/>
      <c r="I34" s="707" t="s">
        <v>1285</v>
      </c>
      <c r="J34" s="627"/>
      <c r="K34" s="1556"/>
      <c r="L34" s="270"/>
      <c r="M34" s="2226"/>
      <c r="N34" s="390"/>
      <c r="O34" s="1680"/>
      <c r="P34" s="1680"/>
      <c r="AH34" s="1687">
        <v>0</v>
      </c>
    </row>
    <row s="2774" customFormat="1" customHeight="1" ht="0.75" hidden="1">
      <c r="A35" s="1836"/>
      <c r="B35" s="1836"/>
      <c r="C35" s="425" t="s">
        <v>1290</v>
      </c>
      <c r="D35" s="2518"/>
      <c r="E35" s="2260"/>
      <c r="F35" s="2439"/>
      <c r="G35" s="456"/>
      <c r="H35" s="1556"/>
      <c r="I35" s="707"/>
      <c r="J35" s="627"/>
      <c r="K35" s="1556"/>
      <c r="L35" s="270"/>
      <c r="M35" s="2226"/>
      <c r="N35" s="390"/>
      <c r="O35" s="1680"/>
      <c r="P35" s="1680"/>
      <c r="AH35" s="1687">
        <v>0</v>
      </c>
    </row>
    <row s="2774" customFormat="1" customHeight="1" ht="18.75" hidden="1">
      <c r="A36" s="1836" t="s">
        <v>252</v>
      </c>
      <c r="B36" s="1836" t="s">
        <v>253</v>
      </c>
      <c r="C36" s="425"/>
      <c r="D36" s="2518"/>
      <c r="E36" s="2260"/>
      <c r="F36" s="2439" t="str">
        <f>INDEX(PT_DIFFERENTIATION_VTAR,MATCH(A36,PT_DIFFERENTIATION_VTAR_ID,0))</f>
        <v>Тарифы на услуги по передаче тепловой энергии</v>
      </c>
      <c r="G36" s="2483" t="str">
        <f>INDEX(PT_DIFFERENTIATION_NTAR,MATCH(B36,PT_DIFFERENTIATION_NTAR_ID,0))</f>
        <v/>
      </c>
      <c r="H36" s="1918"/>
      <c r="I36" s="1795"/>
      <c r="J36" s="1829"/>
      <c r="K36" s="1921"/>
      <c r="L36" s="1918" t="s">
        <v>438</v>
      </c>
      <c r="M36" s="2226"/>
      <c r="N36" s="390"/>
      <c r="O36" s="1680"/>
      <c r="P36" s="1680"/>
      <c r="AH36" s="1687">
        <v>0</v>
      </c>
    </row>
    <row s="2774" customFormat="1" customHeight="1" ht="18.75" hidden="1">
      <c r="A37" s="1836"/>
      <c r="B37" s="1836"/>
      <c r="C37" s="425" t="s">
        <v>1284</v>
      </c>
      <c r="D37" s="2518"/>
      <c r="E37" s="2260"/>
      <c r="F37" s="2439"/>
      <c r="G37" s="2483"/>
      <c r="H37" s="1556"/>
      <c r="I37" s="707" t="s">
        <v>1285</v>
      </c>
      <c r="J37" s="627"/>
      <c r="K37" s="1556"/>
      <c r="L37" s="270"/>
      <c r="M37" s="2226"/>
      <c r="N37" s="390"/>
      <c r="O37" s="1680"/>
      <c r="P37" s="1680"/>
      <c r="AH37" s="1687">
        <v>0</v>
      </c>
    </row>
    <row s="2774" customFormat="1" customHeight="1" ht="0.75" hidden="1">
      <c r="A38" s="1836"/>
      <c r="B38" s="1836"/>
      <c r="C38" s="425" t="s">
        <v>1290</v>
      </c>
      <c r="D38" s="2518"/>
      <c r="E38" s="2260"/>
      <c r="F38" s="2439"/>
      <c r="G38" s="456"/>
      <c r="H38" s="1556"/>
      <c r="I38" s="707"/>
      <c r="J38" s="627"/>
      <c r="K38" s="1556"/>
      <c r="L38" s="270"/>
      <c r="M38" s="2226"/>
      <c r="N38" s="390"/>
      <c r="O38" s="1680"/>
      <c r="P38" s="1680"/>
      <c r="AH38" s="1687">
        <v>0</v>
      </c>
    </row>
    <row s="2774" customFormat="1" customHeight="1" ht="18.75" hidden="1">
      <c r="A39" s="1836" t="s">
        <v>258</v>
      </c>
      <c r="B39" s="1836" t="s">
        <v>259</v>
      </c>
      <c r="C39" s="425"/>
      <c r="D39" s="2518"/>
      <c r="E39" s="2260"/>
      <c r="F39" s="2439" t="str">
        <f>INDEX(PT_DIFFERENTIATION_VTAR,MATCH(A39,PT_DIFFERENTIATION_VTAR_ID,0))</f>
        <v>Тарифы на услуги по передаче теплоносителя</v>
      </c>
      <c r="G39" s="2483" t="str">
        <f>INDEX(PT_DIFFERENTIATION_NTAR,MATCH(B39,PT_DIFFERENTIATION_NTAR_ID,0))</f>
        <v/>
      </c>
      <c r="H39" s="1918"/>
      <c r="I39" s="1795"/>
      <c r="J39" s="1829"/>
      <c r="K39" s="1921"/>
      <c r="L39" s="1918" t="s">
        <v>438</v>
      </c>
      <c r="M39" s="2226"/>
      <c r="N39" s="390"/>
      <c r="O39" s="1680"/>
      <c r="P39" s="1680"/>
      <c r="AH39" s="1687">
        <v>0</v>
      </c>
    </row>
    <row s="2774" customFormat="1" customHeight="1" ht="18.75" hidden="1">
      <c r="A40" s="1836"/>
      <c r="B40" s="1836"/>
      <c r="C40" s="425" t="s">
        <v>1284</v>
      </c>
      <c r="D40" s="2518"/>
      <c r="E40" s="2260"/>
      <c r="F40" s="2439"/>
      <c r="G40" s="2483"/>
      <c r="H40" s="1556"/>
      <c r="I40" s="707" t="s">
        <v>1285</v>
      </c>
      <c r="J40" s="627"/>
      <c r="K40" s="1556"/>
      <c r="L40" s="270"/>
      <c r="M40" s="2226"/>
      <c r="N40" s="390"/>
      <c r="O40" s="1680"/>
      <c r="P40" s="1680"/>
      <c r="AH40" s="1687">
        <v>0</v>
      </c>
    </row>
    <row s="2774" customFormat="1" customHeight="1" ht="0.75" hidden="1">
      <c r="A41" s="1836"/>
      <c r="B41" s="1836"/>
      <c r="C41" s="425" t="s">
        <v>1290</v>
      </c>
      <c r="D41" s="2518"/>
      <c r="E41" s="2260"/>
      <c r="F41" s="2439"/>
      <c r="G41" s="456"/>
      <c r="H41" s="1556"/>
      <c r="I41" s="707"/>
      <c r="J41" s="627"/>
      <c r="K41" s="1556"/>
      <c r="L41" s="270"/>
      <c r="M41" s="2226"/>
      <c r="N41" s="390"/>
      <c r="O41" s="1680"/>
      <c r="P41" s="1680"/>
      <c r="AH41" s="1687">
        <v>0</v>
      </c>
    </row>
    <row s="2774" customFormat="1" customHeight="1" ht="18.75" hidden="1">
      <c r="A42" s="1836" t="s">
        <v>264</v>
      </c>
      <c r="B42" s="1836" t="s">
        <v>265</v>
      </c>
      <c r="C42" s="425"/>
      <c r="D42" s="2518"/>
      <c r="E42" s="2260"/>
      <c r="F42" s="2439" t="str">
        <f>INDEX(PT_DIFFERENTIATION_VTAR,MATCH(A42,PT_DIFFERENTIATION_VTAR_ID,0))</f>
        <v>Плата за услуги по поддержанию резервной тепловой мощности при отсутствии потребления тепловой энергии</v>
      </c>
      <c r="G42" s="2483" t="str">
        <f>INDEX(PT_DIFFERENTIATION_NTAR,MATCH(B42,PT_DIFFERENTIATION_NTAR_ID,0))</f>
        <v/>
      </c>
      <c r="H42" s="1918"/>
      <c r="I42" s="1795"/>
      <c r="J42" s="1829"/>
      <c r="K42" s="1921"/>
      <c r="L42" s="1918" t="s">
        <v>438</v>
      </c>
      <c r="M42" s="2226"/>
      <c r="N42" s="390"/>
      <c r="O42" s="1680"/>
      <c r="P42" s="1680"/>
      <c r="AH42" s="1687">
        <v>0</v>
      </c>
    </row>
    <row s="2774" customFormat="1" customHeight="1" ht="18.75" hidden="1">
      <c r="A43" s="1836"/>
      <c r="B43" s="1836"/>
      <c r="C43" s="425" t="s">
        <v>1284</v>
      </c>
      <c r="D43" s="2518"/>
      <c r="E43" s="2260"/>
      <c r="F43" s="2439"/>
      <c r="G43" s="2483"/>
      <c r="H43" s="1556"/>
      <c r="I43" s="707" t="s">
        <v>1285</v>
      </c>
      <c r="J43" s="627"/>
      <c r="K43" s="1556"/>
      <c r="L43" s="270"/>
      <c r="M43" s="2226"/>
      <c r="N43" s="390"/>
      <c r="O43" s="1680"/>
      <c r="P43" s="1680"/>
      <c r="AH43" s="1687">
        <v>0</v>
      </c>
    </row>
    <row s="2774" customFormat="1" customHeight="1" ht="0.75" hidden="1">
      <c r="A44" s="1836"/>
      <c r="B44" s="1836"/>
      <c r="C44" s="425" t="s">
        <v>1290</v>
      </c>
      <c r="D44" s="2518"/>
      <c r="E44" s="2260"/>
      <c r="F44" s="2439"/>
      <c r="G44" s="456"/>
      <c r="H44" s="1556"/>
      <c r="I44" s="707"/>
      <c r="J44" s="627"/>
      <c r="K44" s="1556"/>
      <c r="L44" s="270"/>
      <c r="M44" s="2226"/>
      <c r="N44" s="390"/>
      <c r="O44" s="1680"/>
      <c r="P44" s="1680"/>
      <c r="AH44" s="1687">
        <v>0</v>
      </c>
    </row>
    <row s="2774" customFormat="1" customHeight="1" ht="18.75" hidden="1">
      <c r="A45" s="1836" t="s">
        <v>270</v>
      </c>
      <c r="B45" s="1836" t="s">
        <v>271</v>
      </c>
      <c r="C45" s="425"/>
      <c r="D45" s="2518"/>
      <c r="E45" s="2260"/>
      <c r="F45" s="2439" t="str">
        <f>INDEX(PT_DIFFERENTIATION_VTAR,MATCH(A45,PT_DIFFERENTIATION_VTAR_ID,0))</f>
        <v>Плата за подключение (технологическое присоединение) к системе теплоснабжения</v>
      </c>
      <c r="G45" s="2483" t="str">
        <f>INDEX(PT_DIFFERENTIATION_NTAR,MATCH(B45,PT_DIFFERENTIATION_NTAR_ID,0))</f>
        <v/>
      </c>
      <c r="H45" s="1918"/>
      <c r="I45" s="1795"/>
      <c r="J45" s="1829"/>
      <c r="K45" s="1921"/>
      <c r="L45" s="1918" t="s">
        <v>438</v>
      </c>
      <c r="M45" s="2226"/>
      <c r="N45" s="390"/>
      <c r="O45" s="1680"/>
      <c r="P45" s="1680"/>
      <c r="AH45" s="1687">
        <v>0</v>
      </c>
    </row>
    <row s="2774" customFormat="1" customHeight="1" ht="18.75" hidden="1">
      <c r="A46" s="1836"/>
      <c r="B46" s="1836"/>
      <c r="C46" s="425" t="s">
        <v>1284</v>
      </c>
      <c r="D46" s="2518"/>
      <c r="E46" s="2260"/>
      <c r="F46" s="2439"/>
      <c r="G46" s="2483"/>
      <c r="H46" s="1556"/>
      <c r="I46" s="707" t="s">
        <v>1285</v>
      </c>
      <c r="J46" s="627"/>
      <c r="K46" s="1556"/>
      <c r="L46" s="270"/>
      <c r="M46" s="2226"/>
      <c r="N46" s="390"/>
      <c r="O46" s="1680"/>
      <c r="P46" s="1680"/>
      <c r="AH46" s="1687">
        <v>0</v>
      </c>
    </row>
    <row s="2774" customFormat="1" customHeight="1" ht="0.75" hidden="1">
      <c r="A47" s="1836"/>
      <c r="B47" s="1836"/>
      <c r="C47" s="425" t="s">
        <v>1290</v>
      </c>
      <c r="D47" s="2518"/>
      <c r="E47" s="2260"/>
      <c r="F47" s="2439"/>
      <c r="G47" s="456"/>
      <c r="H47" s="1556"/>
      <c r="I47" s="707"/>
      <c r="J47" s="627"/>
      <c r="K47" s="1556"/>
      <c r="L47" s="270"/>
      <c r="M47" s="2226"/>
      <c r="N47" s="390"/>
      <c r="O47" s="1680"/>
      <c r="P47" s="1680"/>
      <c r="AH47" s="1687">
        <v>0</v>
      </c>
    </row>
    <row s="2774" customFormat="1" customHeight="1" ht="18.75" hidden="1">
      <c r="A48" s="1836" t="s">
        <v>276</v>
      </c>
      <c r="B48" s="1836" t="s">
        <v>277</v>
      </c>
      <c r="C48" s="425"/>
      <c r="D48" s="2518"/>
      <c r="E48" s="2260"/>
      <c r="F48" s="2439" t="str">
        <f>INDEX(PT_DIFFERENTIATION_VTAR,MATCH(A48,PT_DIFFERENTIATION_VTAR_ID,0))</f>
        <v>Плата за подключение (технологическое присоединение) к системе теплоснабжения (индивидуальная)</v>
      </c>
      <c r="G48" s="2483" t="str">
        <f>INDEX(PT_DIFFERENTIATION_NTAR,MATCH(B48,PT_DIFFERENTIATION_NTAR_ID,0))</f>
        <v/>
      </c>
      <c r="H48" s="2045"/>
      <c r="I48" s="1795"/>
      <c r="J48" s="1829"/>
      <c r="K48" s="1921"/>
      <c r="L48" s="2045" t="s">
        <v>438</v>
      </c>
      <c r="M48" s="2226"/>
      <c r="N48" s="390"/>
      <c r="O48" s="1680"/>
      <c r="P48" s="1680"/>
      <c r="AH48" s="1687">
        <v>0</v>
      </c>
    </row>
    <row s="2774" customFormat="1" customHeight="1" ht="18.75" hidden="1">
      <c r="A49" s="1836"/>
      <c r="B49" s="1836"/>
      <c r="C49" s="425" t="s">
        <v>1284</v>
      </c>
      <c r="D49" s="2518"/>
      <c r="E49" s="2260"/>
      <c r="F49" s="2439"/>
      <c r="G49" s="2483"/>
      <c r="H49" s="1556"/>
      <c r="I49" s="707" t="s">
        <v>1285</v>
      </c>
      <c r="J49" s="627"/>
      <c r="K49" s="1556"/>
      <c r="L49" s="270"/>
      <c r="M49" s="2226"/>
      <c r="N49" s="390"/>
      <c r="O49" s="1680"/>
      <c r="P49" s="1680"/>
      <c r="AH49" s="1687">
        <v>0</v>
      </c>
    </row>
    <row s="2774" customFormat="1" customHeight="1" ht="0.75" hidden="1">
      <c r="A50" s="1836"/>
      <c r="B50" s="1836"/>
      <c r="C50" s="425" t="s">
        <v>1290</v>
      </c>
      <c r="D50" s="2518"/>
      <c r="E50" s="2260"/>
      <c r="F50" s="2439"/>
      <c r="G50" s="456"/>
      <c r="H50" s="1556"/>
      <c r="I50" s="707"/>
      <c r="J50" s="627"/>
      <c r="K50" s="1556"/>
      <c r="L50" s="270"/>
      <c r="M50" s="2226"/>
      <c r="N50" s="390"/>
      <c r="O50" s="1680"/>
      <c r="P50" s="1680"/>
      <c r="AH50" s="1687">
        <v>0</v>
      </c>
    </row>
    <row s="2774" customFormat="1" customHeight="1" ht="18.75" hidden="1">
      <c r="A51" s="1836" t="s">
        <v>298</v>
      </c>
      <c r="B51" s="1836" t="s">
        <v>299</v>
      </c>
      <c r="C51" s="425"/>
      <c r="D51" s="2518"/>
      <c r="E51" s="2260"/>
      <c r="F51" s="2439" t="str">
        <f>INDEX(PT_DIFFERENTIATION_VTAR,MATCH(A51,PT_DIFFERENTIATION_VTAR_ID,0))</f>
        <v>Тариф на питьевую воду (питьевое водоснабжение)</v>
      </c>
      <c r="G51" s="2483" t="str">
        <f>INDEX(PT_DIFFERENTIATION_NTAR,MATCH(B51,PT_DIFFERENTIATION_NTAR_ID,0))</f>
        <v>Питьевая вода</v>
      </c>
      <c r="H51" s="1918"/>
      <c r="I51" s="1795"/>
      <c r="J51" s="1829"/>
      <c r="K51" s="1921"/>
      <c r="L51" s="1918" t="s">
        <v>438</v>
      </c>
      <c r="M51" s="2226"/>
      <c r="N51" s="390"/>
      <c r="O51" s="1680"/>
      <c r="P51" s="1680"/>
      <c r="AH51" s="1687">
        <v>0</v>
      </c>
    </row>
    <row s="2774" customFormat="1" customHeight="1" ht="18.75" hidden="1">
      <c r="A52" s="1836"/>
      <c r="B52" s="1836"/>
      <c r="C52" s="425" t="s">
        <v>1284</v>
      </c>
      <c r="D52" s="2518"/>
      <c r="E52" s="2260"/>
      <c r="F52" s="2439"/>
      <c r="G52" s="2483"/>
      <c r="H52" s="1556"/>
      <c r="I52" s="707" t="s">
        <v>1285</v>
      </c>
      <c r="J52" s="627"/>
      <c r="K52" s="1556"/>
      <c r="L52" s="270"/>
      <c r="M52" s="2226"/>
      <c r="N52" s="390"/>
      <c r="O52" s="1680"/>
      <c r="P52" s="1680"/>
      <c r="AH52" s="1687">
        <v>0</v>
      </c>
    </row>
    <row s="2774" customFormat="1" customHeight="1" ht="0.75" hidden="1">
      <c r="A53" s="1836"/>
      <c r="B53" s="1836"/>
      <c r="C53" s="425" t="s">
        <v>1290</v>
      </c>
      <c r="D53" s="2518"/>
      <c r="E53" s="2260"/>
      <c r="F53" s="2439"/>
      <c r="G53" s="456"/>
      <c r="H53" s="1556"/>
      <c r="I53" s="707"/>
      <c r="J53" s="627"/>
      <c r="K53" s="1556"/>
      <c r="L53" s="270"/>
      <c r="M53" s="2226"/>
      <c r="N53" s="390"/>
      <c r="O53" s="1680"/>
      <c r="P53" s="1680"/>
      <c r="AH53" s="1687">
        <v>0</v>
      </c>
    </row>
    <row s="2774" customFormat="1" customHeight="1" ht="18.75" hidden="1">
      <c r="A54" s="1836" t="s">
        <v>362</v>
      </c>
      <c r="B54" s="1836" t="s">
        <v>363</v>
      </c>
      <c r="C54" s="425"/>
      <c r="D54" s="2518"/>
      <c r="E54" s="2260"/>
      <c r="F54" s="2439" t="str">
        <f>INDEX(PT_DIFFERENTIATION_VTAR,MATCH(A54,PT_DIFFERENTIATION_VTAR_ID,0))</f>
        <v>Тариф на техническую воду</v>
      </c>
      <c r="G54" s="2483" t="str">
        <f>INDEX(PT_DIFFERENTIATION_NTAR,MATCH(B54,PT_DIFFERENTIATION_NTAR_ID,0))</f>
        <v/>
      </c>
      <c r="H54" s="1918"/>
      <c r="I54" s="1795"/>
      <c r="J54" s="1829"/>
      <c r="K54" s="1921"/>
      <c r="L54" s="1918" t="s">
        <v>438</v>
      </c>
      <c r="M54" s="2226"/>
      <c r="N54" s="390"/>
      <c r="O54" s="1680"/>
      <c r="P54" s="1680"/>
      <c r="AH54" s="1687">
        <v>0</v>
      </c>
    </row>
    <row s="2774" customFormat="1" customHeight="1" ht="18.75" hidden="1">
      <c r="A55" s="1836"/>
      <c r="B55" s="1836"/>
      <c r="C55" s="425" t="s">
        <v>1284</v>
      </c>
      <c r="D55" s="2518"/>
      <c r="E55" s="2260"/>
      <c r="F55" s="2439"/>
      <c r="G55" s="2483"/>
      <c r="H55" s="1556"/>
      <c r="I55" s="707" t="s">
        <v>1285</v>
      </c>
      <c r="J55" s="627"/>
      <c r="K55" s="1556"/>
      <c r="L55" s="270"/>
      <c r="M55" s="2226"/>
      <c r="N55" s="390"/>
      <c r="O55" s="1680"/>
      <c r="P55" s="1680"/>
      <c r="AH55" s="1687">
        <v>0</v>
      </c>
    </row>
    <row s="2774" customFormat="1" customHeight="1" ht="0.75" hidden="1">
      <c r="A56" s="1836"/>
      <c r="B56" s="1836"/>
      <c r="C56" s="425" t="s">
        <v>1290</v>
      </c>
      <c r="D56" s="2518"/>
      <c r="E56" s="2260"/>
      <c r="F56" s="2439"/>
      <c r="G56" s="456"/>
      <c r="H56" s="1556"/>
      <c r="I56" s="707"/>
      <c r="J56" s="627"/>
      <c r="K56" s="1556"/>
      <c r="L56" s="270"/>
      <c r="M56" s="2226"/>
      <c r="N56" s="390"/>
      <c r="O56" s="1680"/>
      <c r="P56" s="1680"/>
      <c r="AH56" s="1687">
        <v>0</v>
      </c>
    </row>
    <row s="2774" customFormat="1" customHeight="1" ht="18.75" hidden="1">
      <c r="A57" s="1836" t="s">
        <v>367</v>
      </c>
      <c r="B57" s="1836" t="s">
        <v>368</v>
      </c>
      <c r="C57" s="425"/>
      <c r="D57" s="2518"/>
      <c r="E57" s="2260"/>
      <c r="F57" s="2439" t="str">
        <f>INDEX(PT_DIFFERENTIATION_VTAR,MATCH(A57,PT_DIFFERENTIATION_VTAR_ID,0))</f>
        <v>Тариф на транспортировку воды</v>
      </c>
      <c r="G57" s="2483" t="str">
        <f>INDEX(PT_DIFFERENTIATION_NTAR,MATCH(B57,PT_DIFFERENTIATION_NTAR_ID,0))</f>
        <v/>
      </c>
      <c r="H57" s="1918"/>
      <c r="I57" s="1795"/>
      <c r="J57" s="1829"/>
      <c r="K57" s="1921"/>
      <c r="L57" s="1918" t="s">
        <v>438</v>
      </c>
      <c r="M57" s="2226"/>
      <c r="N57" s="390"/>
      <c r="O57" s="1680"/>
      <c r="P57" s="1680"/>
      <c r="AH57" s="1687">
        <v>0</v>
      </c>
    </row>
    <row s="2774" customFormat="1" customHeight="1" ht="18.75" hidden="1">
      <c r="A58" s="1836"/>
      <c r="B58" s="1836"/>
      <c r="C58" s="425" t="s">
        <v>1284</v>
      </c>
      <c r="D58" s="2518"/>
      <c r="E58" s="2260"/>
      <c r="F58" s="2439"/>
      <c r="G58" s="2483"/>
      <c r="H58" s="1556"/>
      <c r="I58" s="707" t="s">
        <v>1285</v>
      </c>
      <c r="J58" s="627"/>
      <c r="K58" s="1556"/>
      <c r="L58" s="270"/>
      <c r="M58" s="2226"/>
      <c r="N58" s="390"/>
      <c r="O58" s="1680"/>
      <c r="P58" s="1680"/>
      <c r="AH58" s="1687">
        <v>0</v>
      </c>
    </row>
    <row s="2774" customFormat="1" customHeight="1" ht="0.75" hidden="1">
      <c r="A59" s="1836"/>
      <c r="B59" s="1836"/>
      <c r="C59" s="425" t="s">
        <v>1290</v>
      </c>
      <c r="D59" s="2518"/>
      <c r="E59" s="2260"/>
      <c r="F59" s="2439"/>
      <c r="G59" s="456"/>
      <c r="H59" s="1556"/>
      <c r="I59" s="707"/>
      <c r="J59" s="627"/>
      <c r="K59" s="1556"/>
      <c r="L59" s="270"/>
      <c r="M59" s="2226"/>
      <c r="N59" s="390"/>
      <c r="O59" s="1680"/>
      <c r="P59" s="1680"/>
      <c r="AH59" s="1687">
        <v>0</v>
      </c>
    </row>
    <row s="2774" customFormat="1" customHeight="1" ht="18.75" hidden="1">
      <c r="A60" s="1836" t="s">
        <v>372</v>
      </c>
      <c r="B60" s="1836" t="s">
        <v>373</v>
      </c>
      <c r="C60" s="425"/>
      <c r="D60" s="2518"/>
      <c r="E60" s="2260"/>
      <c r="F60" s="2439" t="str">
        <f>INDEX(PT_DIFFERENTIATION_VTAR,MATCH(A60,PT_DIFFERENTIATION_VTAR_ID,0))</f>
        <v>Тариф на подвоз воды</v>
      </c>
      <c r="G60" s="2483" t="str">
        <f>INDEX(PT_DIFFERENTIATION_NTAR,MATCH(B60,PT_DIFFERENTIATION_NTAR_ID,0))</f>
        <v/>
      </c>
      <c r="H60" s="1918"/>
      <c r="I60" s="1795"/>
      <c r="J60" s="1829"/>
      <c r="K60" s="1921"/>
      <c r="L60" s="1918" t="s">
        <v>438</v>
      </c>
      <c r="M60" s="2226"/>
      <c r="N60" s="390"/>
      <c r="O60" s="1680"/>
      <c r="P60" s="1680"/>
      <c r="AH60" s="1687">
        <v>0</v>
      </c>
    </row>
    <row s="2774" customFormat="1" customHeight="1" ht="18.75" hidden="1">
      <c r="A61" s="1836"/>
      <c r="B61" s="1836"/>
      <c r="C61" s="425" t="s">
        <v>1284</v>
      </c>
      <c r="D61" s="2518"/>
      <c r="E61" s="2260"/>
      <c r="F61" s="2439"/>
      <c r="G61" s="2483"/>
      <c r="H61" s="1556"/>
      <c r="I61" s="707" t="s">
        <v>1285</v>
      </c>
      <c r="J61" s="627"/>
      <c r="K61" s="1556"/>
      <c r="L61" s="270"/>
      <c r="M61" s="2226"/>
      <c r="N61" s="390"/>
      <c r="O61" s="1680"/>
      <c r="P61" s="1680"/>
      <c r="AH61" s="1687">
        <v>0</v>
      </c>
    </row>
    <row s="2774" customFormat="1" customHeight="1" ht="0.75" hidden="1">
      <c r="A62" s="1836"/>
      <c r="B62" s="1836"/>
      <c r="C62" s="425" t="s">
        <v>1290</v>
      </c>
      <c r="D62" s="2518"/>
      <c r="E62" s="2260"/>
      <c r="F62" s="2439"/>
      <c r="G62" s="456"/>
      <c r="H62" s="1556"/>
      <c r="I62" s="707"/>
      <c r="J62" s="627"/>
      <c r="K62" s="1556"/>
      <c r="L62" s="270"/>
      <c r="M62" s="2226"/>
      <c r="N62" s="390"/>
      <c r="O62" s="1680"/>
      <c r="P62" s="1680"/>
      <c r="AH62" s="1687">
        <v>0</v>
      </c>
    </row>
    <row s="2774" customFormat="1" customHeight="1" ht="18.75" hidden="1">
      <c r="A63" s="1836" t="s">
        <v>377</v>
      </c>
      <c r="B63" s="1836" t="s">
        <v>378</v>
      </c>
      <c r="C63" s="425"/>
      <c r="D63" s="2518"/>
      <c r="E63" s="2260"/>
      <c r="F63" s="2439"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83" t="str">
        <f>INDEX(PT_DIFFERENTIATION_NTAR,MATCH(B63,PT_DIFFERENTIATION_NTAR_ID,0))</f>
        <v/>
      </c>
      <c r="H63" s="1918"/>
      <c r="I63" s="1795"/>
      <c r="J63" s="1829"/>
      <c r="K63" s="1921"/>
      <c r="L63" s="1918" t="s">
        <v>438</v>
      </c>
      <c r="M63" s="2226"/>
      <c r="N63" s="390"/>
      <c r="O63" s="1680"/>
      <c r="P63" s="1680"/>
      <c r="AH63" s="1687">
        <v>0</v>
      </c>
    </row>
    <row s="2774" customFormat="1" customHeight="1" ht="18.75" hidden="1">
      <c r="A64" s="1836"/>
      <c r="B64" s="1836"/>
      <c r="C64" s="425" t="s">
        <v>1284</v>
      </c>
      <c r="D64" s="2518"/>
      <c r="E64" s="2260"/>
      <c r="F64" s="2439"/>
      <c r="G64" s="2483"/>
      <c r="H64" s="1556"/>
      <c r="I64" s="707" t="s">
        <v>1285</v>
      </c>
      <c r="J64" s="627"/>
      <c r="K64" s="1556"/>
      <c r="L64" s="270"/>
      <c r="M64" s="2226"/>
      <c r="N64" s="390"/>
      <c r="O64" s="1680"/>
      <c r="P64" s="1680"/>
      <c r="AH64" s="1687">
        <v>0</v>
      </c>
    </row>
    <row s="2774" customFormat="1" customHeight="1" ht="0.75" hidden="1">
      <c r="A65" s="1836"/>
      <c r="B65" s="1836"/>
      <c r="C65" s="425" t="s">
        <v>1290</v>
      </c>
      <c r="D65" s="2518"/>
      <c r="E65" s="2260"/>
      <c r="F65" s="2439"/>
      <c r="G65" s="456"/>
      <c r="H65" s="1556"/>
      <c r="I65" s="707"/>
      <c r="J65" s="627"/>
      <c r="K65" s="1556"/>
      <c r="L65" s="270"/>
      <c r="M65" s="2226"/>
      <c r="N65" s="390"/>
      <c r="O65" s="1680"/>
      <c r="P65" s="1680"/>
      <c r="AH65" s="1687">
        <v>0</v>
      </c>
    </row>
    <row s="2774" customFormat="1" customHeight="1" ht="18.75" hidden="1">
      <c r="A66" s="1836" t="s">
        <v>382</v>
      </c>
      <c r="B66" s="1836" t="s">
        <v>383</v>
      </c>
      <c r="C66" s="425"/>
      <c r="D66" s="2518"/>
      <c r="E66" s="2260"/>
      <c r="F66" s="2439" t="str">
        <f>INDEX(PT_DIFFERENTIATION_VTAR,MATCH(A66,PT_DIFFERENTIATION_VTAR_ID,0))</f>
        <v>Тариф на горячую воду (горячее водоснабжение)</v>
      </c>
      <c r="G66" s="2483" t="str">
        <f>INDEX(PT_DIFFERENTIATION_NTAR,MATCH(B66,PT_DIFFERENTIATION_NTAR_ID,0))</f>
        <v/>
      </c>
      <c r="H66" s="1918"/>
      <c r="I66" s="1795"/>
      <c r="J66" s="1829"/>
      <c r="K66" s="1921"/>
      <c r="L66" s="1918" t="s">
        <v>438</v>
      </c>
      <c r="M66" s="2226"/>
      <c r="N66" s="390"/>
      <c r="O66" s="1680"/>
      <c r="P66" s="1680"/>
      <c r="AH66" s="1687">
        <v>0</v>
      </c>
    </row>
    <row s="2774" customFormat="1" customHeight="1" ht="18.75" hidden="1">
      <c r="A67" s="1836"/>
      <c r="B67" s="1836"/>
      <c r="C67" s="425" t="s">
        <v>1284</v>
      </c>
      <c r="D67" s="2518"/>
      <c r="E67" s="2260"/>
      <c r="F67" s="2439"/>
      <c r="G67" s="2483"/>
      <c r="H67" s="1556"/>
      <c r="I67" s="707" t="s">
        <v>1285</v>
      </c>
      <c r="J67" s="627"/>
      <c r="K67" s="1556"/>
      <c r="L67" s="270"/>
      <c r="M67" s="2226"/>
      <c r="N67" s="390"/>
      <c r="O67" s="1680"/>
      <c r="P67" s="1680"/>
      <c r="AH67" s="1687">
        <v>0</v>
      </c>
    </row>
    <row s="2774" customFormat="1" customHeight="1" ht="0.75" hidden="1">
      <c r="A68" s="1836"/>
      <c r="B68" s="1836"/>
      <c r="C68" s="425" t="s">
        <v>1290</v>
      </c>
      <c r="D68" s="2518"/>
      <c r="E68" s="2260"/>
      <c r="F68" s="2439"/>
      <c r="G68" s="456"/>
      <c r="H68" s="1556"/>
      <c r="I68" s="707"/>
      <c r="J68" s="627"/>
      <c r="K68" s="1556"/>
      <c r="L68" s="270"/>
      <c r="M68" s="2226"/>
      <c r="N68" s="390"/>
      <c r="O68" s="1680"/>
      <c r="P68" s="1680"/>
      <c r="AH68" s="1687">
        <v>0</v>
      </c>
    </row>
    <row s="2774" customFormat="1" customHeight="1" ht="18.75" hidden="1">
      <c r="A69" s="1836" t="s">
        <v>387</v>
      </c>
      <c r="B69" s="1836" t="s">
        <v>388</v>
      </c>
      <c r="C69" s="425"/>
      <c r="D69" s="2518"/>
      <c r="E69" s="2260"/>
      <c r="F69" s="2439" t="str">
        <f>INDEX(PT_DIFFERENTIATION_VTAR,MATCH(A69,PT_DIFFERENTIATION_VTAR_ID,0))</f>
        <v>Тариф на транспортировку горячей воды</v>
      </c>
      <c r="G69" s="2483" t="str">
        <f>INDEX(PT_DIFFERENTIATION_NTAR,MATCH(B69,PT_DIFFERENTIATION_NTAR_ID,0))</f>
        <v/>
      </c>
      <c r="H69" s="1918"/>
      <c r="I69" s="1795"/>
      <c r="J69" s="1829"/>
      <c r="K69" s="1921"/>
      <c r="L69" s="1918" t="s">
        <v>438</v>
      </c>
      <c r="M69" s="2226"/>
      <c r="N69" s="390"/>
      <c r="O69" s="1680"/>
      <c r="P69" s="1680"/>
      <c r="AH69" s="1687">
        <v>0</v>
      </c>
    </row>
    <row s="2774" customFormat="1" customHeight="1" ht="18.75" hidden="1">
      <c r="A70" s="1836"/>
      <c r="B70" s="1836"/>
      <c r="C70" s="425" t="s">
        <v>1284</v>
      </c>
      <c r="D70" s="2518"/>
      <c r="E70" s="2260"/>
      <c r="F70" s="2439"/>
      <c r="G70" s="2483"/>
      <c r="H70" s="1556"/>
      <c r="I70" s="707" t="s">
        <v>1285</v>
      </c>
      <c r="J70" s="627"/>
      <c r="K70" s="1556"/>
      <c r="L70" s="270"/>
      <c r="M70" s="2226"/>
      <c r="N70" s="390"/>
      <c r="O70" s="1680"/>
      <c r="P70" s="1680"/>
      <c r="AH70" s="1687">
        <v>0</v>
      </c>
    </row>
    <row s="2774" customFormat="1" customHeight="1" ht="0.75" hidden="1">
      <c r="A71" s="1836"/>
      <c r="B71" s="1836"/>
      <c r="C71" s="425" t="s">
        <v>1290</v>
      </c>
      <c r="D71" s="2518"/>
      <c r="E71" s="2260"/>
      <c r="F71" s="2439"/>
      <c r="G71" s="456"/>
      <c r="H71" s="1556"/>
      <c r="I71" s="707"/>
      <c r="J71" s="627"/>
      <c r="K71" s="1556"/>
      <c r="L71" s="270"/>
      <c r="M71" s="2226"/>
      <c r="N71" s="390"/>
      <c r="O71" s="1680"/>
      <c r="P71" s="1680"/>
      <c r="AH71" s="1687">
        <v>0</v>
      </c>
    </row>
    <row s="2774" customFormat="1" customHeight="1" ht="18.75" hidden="1">
      <c r="A72" s="1836" t="s">
        <v>392</v>
      </c>
      <c r="B72" s="1836" t="s">
        <v>393</v>
      </c>
      <c r="C72" s="425"/>
      <c r="D72" s="2518"/>
      <c r="E72" s="2260"/>
      <c r="F72" s="2439" t="str">
        <f>INDEX(PT_DIFFERENTIATION_VTAR,MATCH(A72,PT_DIFFERENTIATION_VTAR_ID,0))</f>
        <v>Тариф на подключение (технологическое присоединение) к централизованной системе горячего водоснабжения</v>
      </c>
      <c r="G72" s="2483" t="str">
        <f>INDEX(PT_DIFFERENTIATION_NTAR,MATCH(B72,PT_DIFFERENTIATION_NTAR_ID,0))</f>
        <v/>
      </c>
      <c r="H72" s="1918"/>
      <c r="I72" s="1795"/>
      <c r="J72" s="1829"/>
      <c r="K72" s="1921"/>
      <c r="L72" s="1918" t="s">
        <v>438</v>
      </c>
      <c r="M72" s="2226"/>
      <c r="N72" s="390"/>
      <c r="O72" s="1680"/>
      <c r="P72" s="1680"/>
      <c r="AH72" s="1687">
        <v>0</v>
      </c>
    </row>
    <row s="2774" customFormat="1" customHeight="1" ht="18.75" hidden="1">
      <c r="A73" s="1836"/>
      <c r="B73" s="1836"/>
      <c r="C73" s="425" t="s">
        <v>1284</v>
      </c>
      <c r="D73" s="2518"/>
      <c r="E73" s="2260"/>
      <c r="F73" s="2439"/>
      <c r="G73" s="2483"/>
      <c r="H73" s="1556"/>
      <c r="I73" s="707" t="s">
        <v>1285</v>
      </c>
      <c r="J73" s="627"/>
      <c r="K73" s="1556"/>
      <c r="L73" s="270"/>
      <c r="M73" s="2226"/>
      <c r="N73" s="390"/>
      <c r="O73" s="1680"/>
      <c r="P73" s="1680"/>
      <c r="AH73" s="1687">
        <v>0</v>
      </c>
    </row>
    <row s="2774" customFormat="1" customHeight="1" ht="0.75" hidden="1">
      <c r="A74" s="1836"/>
      <c r="B74" s="1836"/>
      <c r="C74" s="425" t="s">
        <v>1290</v>
      </c>
      <c r="D74" s="2518"/>
      <c r="E74" s="2260"/>
      <c r="F74" s="2439"/>
      <c r="G74" s="456"/>
      <c r="H74" s="1556"/>
      <c r="I74" s="707"/>
      <c r="J74" s="627"/>
      <c r="K74" s="1556"/>
      <c r="L74" s="270"/>
      <c r="M74" s="2226"/>
      <c r="N74" s="390"/>
      <c r="O74" s="1680"/>
      <c r="P74" s="1680"/>
      <c r="AH74" s="1687">
        <v>0</v>
      </c>
    </row>
    <row s="2774" customFormat="1" customHeight="1" ht="18.75" hidden="1">
      <c r="A75" s="1836" t="s">
        <v>397</v>
      </c>
      <c r="B75" s="1836" t="s">
        <v>398</v>
      </c>
      <c r="C75" s="425"/>
      <c r="D75" s="2518"/>
      <c r="E75" s="2260"/>
      <c r="F75" s="2439" t="str">
        <f>INDEX(PT_DIFFERENTIATION_VTAR,MATCH(A75,PT_DIFFERENTIATION_VTAR_ID,0))</f>
        <v>Тариф на водоотведение</v>
      </c>
      <c r="G75" s="2483" t="str">
        <f>INDEX(PT_DIFFERENTIATION_NTAR,MATCH(B75,PT_DIFFERENTIATION_NTAR_ID,0))</f>
        <v/>
      </c>
      <c r="H75" s="1918"/>
      <c r="I75" s="1795"/>
      <c r="J75" s="1829"/>
      <c r="K75" s="1921"/>
      <c r="L75" s="1918" t="s">
        <v>438</v>
      </c>
      <c r="M75" s="2226"/>
      <c r="N75" s="390"/>
      <c r="O75" s="1680"/>
      <c r="P75" s="1680"/>
      <c r="AH75" s="1687">
        <v>0</v>
      </c>
    </row>
    <row s="2774" customFormat="1" customHeight="1" ht="18.75" hidden="1">
      <c r="A76" s="1836"/>
      <c r="B76" s="1836"/>
      <c r="C76" s="425" t="s">
        <v>1284</v>
      </c>
      <c r="D76" s="2518"/>
      <c r="E76" s="2260"/>
      <c r="F76" s="2439"/>
      <c r="G76" s="2483"/>
      <c r="H76" s="1556"/>
      <c r="I76" s="707" t="s">
        <v>1285</v>
      </c>
      <c r="J76" s="627"/>
      <c r="K76" s="1556"/>
      <c r="L76" s="270"/>
      <c r="M76" s="2226"/>
      <c r="N76" s="390"/>
      <c r="O76" s="1680"/>
      <c r="P76" s="1680"/>
      <c r="AH76" s="1687">
        <v>0</v>
      </c>
    </row>
    <row s="2774" customFormat="1" customHeight="1" ht="0.75" hidden="1">
      <c r="A77" s="1836"/>
      <c r="B77" s="1836"/>
      <c r="C77" s="425" t="s">
        <v>1290</v>
      </c>
      <c r="D77" s="2518"/>
      <c r="E77" s="2260"/>
      <c r="F77" s="2439"/>
      <c r="G77" s="456"/>
      <c r="H77" s="1556"/>
      <c r="I77" s="707"/>
      <c r="J77" s="627"/>
      <c r="K77" s="1556"/>
      <c r="L77" s="270"/>
      <c r="M77" s="2226"/>
      <c r="N77" s="390"/>
      <c r="O77" s="1680"/>
      <c r="P77" s="1680"/>
      <c r="AH77" s="1687">
        <v>0</v>
      </c>
    </row>
    <row s="2774" customFormat="1" customHeight="1" ht="18.75" hidden="1">
      <c r="A78" s="1836" t="s">
        <v>402</v>
      </c>
      <c r="B78" s="1836" t="s">
        <v>403</v>
      </c>
      <c r="C78" s="425"/>
      <c r="D78" s="2518"/>
      <c r="E78" s="2260"/>
      <c r="F78" s="2439" t="str">
        <f>INDEX(PT_DIFFERENTIATION_VTAR,MATCH(A78,PT_DIFFERENTIATION_VTAR_ID,0))</f>
        <v>Тариф на транспортировку сточных вод</v>
      </c>
      <c r="G78" s="2483" t="str">
        <f>INDEX(PT_DIFFERENTIATION_NTAR,MATCH(B78,PT_DIFFERENTIATION_NTAR_ID,0))</f>
        <v/>
      </c>
      <c r="H78" s="1918"/>
      <c r="I78" s="1795"/>
      <c r="J78" s="1829"/>
      <c r="K78" s="1921"/>
      <c r="L78" s="1918" t="s">
        <v>438</v>
      </c>
      <c r="M78" s="2226"/>
      <c r="N78" s="390"/>
      <c r="O78" s="1680"/>
      <c r="P78" s="1680"/>
      <c r="AH78" s="1687">
        <v>0</v>
      </c>
    </row>
    <row s="2774" customFormat="1" customHeight="1" ht="18.75" hidden="1">
      <c r="A79" s="1836"/>
      <c r="B79" s="1836"/>
      <c r="C79" s="425" t="s">
        <v>1284</v>
      </c>
      <c r="D79" s="2518"/>
      <c r="E79" s="2260"/>
      <c r="F79" s="2439"/>
      <c r="G79" s="2483"/>
      <c r="H79" s="1556"/>
      <c r="I79" s="707" t="s">
        <v>1285</v>
      </c>
      <c r="J79" s="627"/>
      <c r="K79" s="1556"/>
      <c r="L79" s="270"/>
      <c r="M79" s="2226"/>
      <c r="N79" s="390"/>
      <c r="O79" s="1680"/>
      <c r="P79" s="1680"/>
      <c r="AH79" s="1687">
        <v>0</v>
      </c>
    </row>
    <row s="2774" customFormat="1" customHeight="1" ht="0.75" hidden="1">
      <c r="A80" s="1836"/>
      <c r="B80" s="1836"/>
      <c r="C80" s="425" t="s">
        <v>1290</v>
      </c>
      <c r="D80" s="2518"/>
      <c r="E80" s="2260"/>
      <c r="F80" s="2439"/>
      <c r="G80" s="456"/>
      <c r="H80" s="1556"/>
      <c r="I80" s="707"/>
      <c r="J80" s="627"/>
      <c r="K80" s="1556"/>
      <c r="L80" s="270"/>
      <c r="M80" s="2226"/>
      <c r="N80" s="390"/>
      <c r="O80" s="1680"/>
      <c r="P80" s="1680"/>
      <c r="AH80" s="1687">
        <v>0</v>
      </c>
    </row>
    <row s="2774" customFormat="1" customHeight="1" ht="18.75" hidden="1">
      <c r="A81" s="1836" t="s">
        <v>407</v>
      </c>
      <c r="B81" s="1836" t="s">
        <v>408</v>
      </c>
      <c r="C81" s="425"/>
      <c r="D81" s="2518"/>
      <c r="E81" s="2260"/>
      <c r="F81" s="2439" t="str">
        <f>INDEX(PT_DIFFERENTIATION_VTAR,MATCH(A81,PT_DIFFERENTIATION_VTAR_ID,0))</f>
        <v>Тариф на подключение (технологическое присоединение) к централизованной системе водоотведения</v>
      </c>
      <c r="G81" s="2483" t="str">
        <f>INDEX(PT_DIFFERENTIATION_NTAR,MATCH(B81,PT_DIFFERENTIATION_NTAR_ID,0))</f>
        <v/>
      </c>
      <c r="H81" s="1918"/>
      <c r="I81" s="1795"/>
      <c r="J81" s="1829"/>
      <c r="K81" s="1921"/>
      <c r="L81" s="1918" t="s">
        <v>438</v>
      </c>
      <c r="M81" s="2226"/>
      <c r="N81" s="390"/>
      <c r="O81" s="1680"/>
      <c r="P81" s="1680"/>
      <c r="AH81" s="1687">
        <v>0</v>
      </c>
    </row>
    <row s="2774" customFormat="1" customHeight="1" ht="18.75" hidden="1">
      <c r="A82" s="1836"/>
      <c r="B82" s="1836"/>
      <c r="C82" s="425" t="s">
        <v>1284</v>
      </c>
      <c r="D82" s="2518"/>
      <c r="E82" s="2260"/>
      <c r="F82" s="2439"/>
      <c r="G82" s="2483"/>
      <c r="H82" s="1556"/>
      <c r="I82" s="707" t="s">
        <v>1285</v>
      </c>
      <c r="J82" s="627"/>
      <c r="K82" s="1556"/>
      <c r="L82" s="270"/>
      <c r="M82" s="2226"/>
      <c r="N82" s="390"/>
      <c r="O82" s="1680"/>
      <c r="P82" s="1680"/>
      <c r="AH82" s="1687">
        <v>0</v>
      </c>
    </row>
    <row s="2774" customFormat="1" customHeight="1" ht="1.05">
      <c r="A83" s="1836"/>
      <c r="B83" s="1836"/>
      <c r="C83" s="425" t="s">
        <v>1290</v>
      </c>
      <c r="D83" s="2518"/>
      <c r="E83" s="2260"/>
      <c r="F83" s="2439"/>
      <c r="G83" s="456"/>
      <c r="H83" s="1556"/>
      <c r="I83" s="707"/>
      <c r="J83" s="627"/>
      <c r="K83" s="1556"/>
      <c r="L83" s="270"/>
      <c r="M83" s="2226"/>
      <c r="N83" s="390"/>
      <c r="O83" s="1680"/>
      <c r="P83" s="1680"/>
      <c r="AH83" s="1687">
        <v>1</v>
      </c>
    </row>
    <row customHeight="1" ht="19.95">
      <c r="A84" s="1836"/>
      <c r="B84" s="1836"/>
      <c r="D84" s="432"/>
      <c r="E84" s="203" t="s">
        <v>108</v>
      </c>
      <c r="F84" s="251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516"/>
      <c r="H84" s="2516"/>
      <c r="I84" s="2516"/>
      <c r="J84" s="2516"/>
      <c r="K84" s="2516"/>
      <c r="L84" s="2516"/>
      <c r="M84" s="353"/>
      <c r="N84" s="390"/>
      <c r="AH84" s="430">
        <v>19</v>
      </c>
    </row>
    <row customHeight="1" ht="35.699999999999996">
      <c r="A85" s="1836"/>
      <c r="B85" s="1836"/>
      <c r="D85" s="432"/>
      <c r="E85" s="455"/>
      <c r="F85" s="254" t="s">
        <v>438</v>
      </c>
      <c r="G85" s="254" t="s">
        <v>438</v>
      </c>
      <c r="H85" s="2274" t="s">
        <v>438</v>
      </c>
      <c r="I85" s="2276"/>
      <c r="J85" s="254" t="s">
        <v>438</v>
      </c>
      <c r="K85" s="254" t="s">
        <v>438</v>
      </c>
      <c r="L85" s="457"/>
      <c r="M85" s="401" t="s">
        <v>1291</v>
      </c>
      <c r="N85" s="390"/>
      <c r="AH85" s="430">
        <v>34</v>
      </c>
    </row>
    <row customHeight="1" ht="19.95">
      <c r="A86" s="1836"/>
      <c r="B86" s="1836"/>
      <c r="D86" s="432"/>
      <c r="E86" s="203" t="s">
        <v>94</v>
      </c>
      <c r="F86" s="2516" t="s">
        <v>1292</v>
      </c>
      <c r="G86" s="2516"/>
      <c r="H86" s="2516"/>
      <c r="I86" s="2516"/>
      <c r="J86" s="2516"/>
      <c r="K86" s="2516"/>
      <c r="L86" s="2516"/>
      <c r="M86" s="353"/>
      <c r="N86" s="390"/>
      <c r="AH86" s="430">
        <v>19</v>
      </c>
    </row>
    <row s="2774" customFormat="1" customHeight="1" ht="60.75" hidden="1">
      <c r="A87" s="1836" t="s">
        <v>228</v>
      </c>
      <c r="B87" s="1836" t="s">
        <v>229</v>
      </c>
      <c r="C87" s="425"/>
      <c r="D87" s="2518"/>
      <c r="E87" s="2260"/>
      <c r="F87" s="2439"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83" t="str">
        <f>INDEX(PT_DIFFERENTIATION_NTAR,MATCH(B87,PT_DIFFERENTIATION_NTAR_ID,0))</f>
        <v/>
      </c>
      <c r="H87" s="1918"/>
      <c r="I87" s="1795"/>
      <c r="J87" s="1829"/>
      <c r="K87" s="1834"/>
      <c r="L87" s="1918" t="s">
        <v>438</v>
      </c>
      <c r="M87" s="2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90"/>
      <c r="O87" s="1680"/>
      <c r="P87" s="1680"/>
      <c r="AH87" s="1687">
        <v>0</v>
      </c>
    </row>
    <row s="2774" customFormat="1" customHeight="1" ht="18.75" hidden="1">
      <c r="A88" s="1836"/>
      <c r="B88" s="1836"/>
      <c r="C88" s="425" t="s">
        <v>1286</v>
      </c>
      <c r="D88" s="2518"/>
      <c r="E88" s="2260"/>
      <c r="F88" s="2439"/>
      <c r="G88" s="2483"/>
      <c r="H88" s="1556"/>
      <c r="I88" s="707" t="s">
        <v>1285</v>
      </c>
      <c r="J88" s="627"/>
      <c r="K88" s="1556"/>
      <c r="L88" s="270"/>
      <c r="M88" s="2226"/>
      <c r="N88" s="390"/>
      <c r="O88" s="1680"/>
      <c r="P88" s="1680"/>
      <c r="AH88" s="1687">
        <v>0</v>
      </c>
    </row>
    <row s="2774" customFormat="1" customHeight="1" ht="0.75" hidden="1">
      <c r="A89" s="1836"/>
      <c r="B89" s="1836"/>
      <c r="C89" s="425" t="s">
        <v>1293</v>
      </c>
      <c r="D89" s="2518"/>
      <c r="E89" s="2260"/>
      <c r="F89" s="2439"/>
      <c r="G89" s="456"/>
      <c r="H89" s="1556"/>
      <c r="I89" s="707"/>
      <c r="J89" s="627"/>
      <c r="K89" s="1556"/>
      <c r="L89" s="270"/>
      <c r="M89" s="2226"/>
      <c r="N89" s="390"/>
      <c r="O89" s="1680"/>
      <c r="P89" s="1680"/>
      <c r="AH89" s="1687">
        <v>0</v>
      </c>
    </row>
    <row s="2774" customFormat="1" customHeight="1" ht="45" hidden="1">
      <c r="A90" s="1836" t="s">
        <v>233</v>
      </c>
      <c r="B90" s="1836" t="s">
        <v>234</v>
      </c>
      <c r="C90" s="425"/>
      <c r="D90" s="2518"/>
      <c r="E90" s="2260"/>
      <c r="F90" s="2439" t="str">
        <f>INDEX(PT_DIFFERENTIATION_VTAR,MATCH(A90,PT_DIFFERENTIATION_VTAR_ID,0))</f>
        <v/>
      </c>
      <c r="G90" s="2483" t="str">
        <f>INDEX(PT_DIFFERENTIATION_NTAR,MATCH(B90,PT_DIFFERENTIATION_NTAR_ID,0))</f>
        <v/>
      </c>
      <c r="H90" s="1918"/>
      <c r="I90" s="1795"/>
      <c r="J90" s="1829"/>
      <c r="K90" s="1834"/>
      <c r="L90" s="1918" t="s">
        <v>438</v>
      </c>
      <c r="M90" s="2227"/>
      <c r="N90" s="390"/>
      <c r="O90" s="1680"/>
      <c r="P90" s="1680"/>
      <c r="AH90" s="1687">
        <v>0</v>
      </c>
    </row>
    <row s="2774" customFormat="1" customHeight="1" ht="18.75" hidden="1">
      <c r="A91" s="1836"/>
      <c r="B91" s="1836"/>
      <c r="C91" s="425" t="s">
        <v>1286</v>
      </c>
      <c r="D91" s="2518"/>
      <c r="E91" s="2260"/>
      <c r="F91" s="2439"/>
      <c r="G91" s="2483"/>
      <c r="H91" s="1556"/>
      <c r="I91" s="707" t="s">
        <v>1285</v>
      </c>
      <c r="J91" s="627"/>
      <c r="K91" s="1556"/>
      <c r="L91" s="270"/>
      <c r="M91" s="1917"/>
      <c r="N91" s="390"/>
      <c r="O91" s="1680"/>
      <c r="P91" s="1680"/>
      <c r="AH91" s="1687">
        <v>0</v>
      </c>
    </row>
    <row s="2774" customFormat="1" customHeight="1" ht="0.75" hidden="1">
      <c r="A92" s="1836"/>
      <c r="B92" s="1836"/>
      <c r="C92" s="425" t="s">
        <v>1293</v>
      </c>
      <c r="D92" s="2518"/>
      <c r="E92" s="2260"/>
      <c r="F92" s="2439"/>
      <c r="G92" s="456"/>
      <c r="H92" s="1556"/>
      <c r="I92" s="707"/>
      <c r="J92" s="627"/>
      <c r="K92" s="1556"/>
      <c r="L92" s="270"/>
      <c r="M92" s="397"/>
      <c r="N92" s="390"/>
      <c r="O92" s="1680"/>
      <c r="P92" s="1680"/>
      <c r="AH92" s="1687">
        <v>0</v>
      </c>
    </row>
    <row s="2774" customFormat="1" customHeight="1" ht="45" hidden="1">
      <c r="A93" s="1836" t="s">
        <v>240</v>
      </c>
      <c r="B93" s="1836" t="s">
        <v>241</v>
      </c>
      <c r="C93" s="425"/>
      <c r="D93" s="2518"/>
      <c r="E93" s="2260"/>
      <c r="F93" s="2439"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83" t="str">
        <f>INDEX(PT_DIFFERENTIATION_NTAR,MATCH(B93,PT_DIFFERENTIATION_NTAR_ID,0))</f>
        <v/>
      </c>
      <c r="H93" s="1918"/>
      <c r="I93" s="1795"/>
      <c r="J93" s="1829"/>
      <c r="K93" s="1834"/>
      <c r="L93" s="1918" t="s">
        <v>438</v>
      </c>
      <c r="M93" s="397"/>
      <c r="N93" s="390"/>
      <c r="O93" s="1680"/>
      <c r="P93" s="1680"/>
      <c r="AH93" s="1687">
        <v>0</v>
      </c>
    </row>
    <row s="2774" customFormat="1" customHeight="1" ht="18.75" hidden="1">
      <c r="A94" s="1836"/>
      <c r="B94" s="1836"/>
      <c r="C94" s="425" t="s">
        <v>1286</v>
      </c>
      <c r="D94" s="2518"/>
      <c r="E94" s="2260"/>
      <c r="F94" s="2439"/>
      <c r="G94" s="2483"/>
      <c r="H94" s="1556"/>
      <c r="I94" s="707" t="s">
        <v>1285</v>
      </c>
      <c r="J94" s="627"/>
      <c r="K94" s="1556"/>
      <c r="L94" s="270"/>
      <c r="M94" s="397"/>
      <c r="N94" s="390"/>
      <c r="O94" s="1680"/>
      <c r="P94" s="1680"/>
      <c r="AH94" s="1687">
        <v>0</v>
      </c>
    </row>
    <row s="2774" customFormat="1" customHeight="1" ht="0.75" hidden="1">
      <c r="A95" s="1836"/>
      <c r="B95" s="1836"/>
      <c r="C95" s="425" t="s">
        <v>1293</v>
      </c>
      <c r="D95" s="2518"/>
      <c r="E95" s="2260"/>
      <c r="F95" s="2439"/>
      <c r="G95" s="456"/>
      <c r="H95" s="1556"/>
      <c r="I95" s="707"/>
      <c r="J95" s="627"/>
      <c r="K95" s="1556"/>
      <c r="L95" s="270"/>
      <c r="M95" s="397"/>
      <c r="N95" s="390"/>
      <c r="O95" s="1680"/>
      <c r="P95" s="1680"/>
      <c r="AH95" s="1687">
        <v>0</v>
      </c>
    </row>
    <row s="2774" customFormat="1" customHeight="1" ht="45" hidden="1">
      <c r="A96" s="1836" t="s">
        <v>246</v>
      </c>
      <c r="B96" s="1836" t="s">
        <v>247</v>
      </c>
      <c r="C96" s="425"/>
      <c r="D96" s="2518"/>
      <c r="E96" s="2260"/>
      <c r="F96" s="2439"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83" t="str">
        <f>INDEX(PT_DIFFERENTIATION_NTAR,MATCH(B96,PT_DIFFERENTIATION_NTAR_ID,0))</f>
        <v/>
      </c>
      <c r="H96" s="1918"/>
      <c r="I96" s="1795"/>
      <c r="J96" s="1829"/>
      <c r="K96" s="1834"/>
      <c r="L96" s="1918" t="s">
        <v>438</v>
      </c>
      <c r="M96" s="397"/>
      <c r="N96" s="390"/>
      <c r="O96" s="1680"/>
      <c r="P96" s="1680"/>
      <c r="AH96" s="1687">
        <v>0</v>
      </c>
    </row>
    <row s="2774" customFormat="1" customHeight="1" ht="18.75" hidden="1">
      <c r="A97" s="1836"/>
      <c r="B97" s="1836"/>
      <c r="C97" s="425" t="s">
        <v>1286</v>
      </c>
      <c r="D97" s="2518"/>
      <c r="E97" s="2260"/>
      <c r="F97" s="2439"/>
      <c r="G97" s="2483"/>
      <c r="H97" s="1556"/>
      <c r="I97" s="707" t="s">
        <v>1285</v>
      </c>
      <c r="J97" s="627"/>
      <c r="K97" s="1556"/>
      <c r="L97" s="270"/>
      <c r="M97" s="397"/>
      <c r="N97" s="390"/>
      <c r="O97" s="1680"/>
      <c r="P97" s="1680"/>
      <c r="AH97" s="1687">
        <v>0</v>
      </c>
    </row>
    <row s="2774" customFormat="1" customHeight="1" ht="0.75" hidden="1">
      <c r="A98" s="1836"/>
      <c r="B98" s="1836"/>
      <c r="C98" s="425" t="s">
        <v>1293</v>
      </c>
      <c r="D98" s="2518"/>
      <c r="E98" s="2260"/>
      <c r="F98" s="2439"/>
      <c r="G98" s="456"/>
      <c r="H98" s="1556"/>
      <c r="I98" s="707"/>
      <c r="J98" s="627"/>
      <c r="K98" s="1556"/>
      <c r="L98" s="270"/>
      <c r="M98" s="397"/>
      <c r="N98" s="390"/>
      <c r="O98" s="1680"/>
      <c r="P98" s="1680"/>
      <c r="AH98" s="1687">
        <v>0</v>
      </c>
    </row>
    <row s="2774" customFormat="1" customHeight="1" ht="18.75" hidden="1">
      <c r="A99" s="1836" t="s">
        <v>252</v>
      </c>
      <c r="B99" s="1836" t="s">
        <v>253</v>
      </c>
      <c r="C99" s="425"/>
      <c r="D99" s="2518"/>
      <c r="E99" s="2260"/>
      <c r="F99" s="2439" t="str">
        <f>INDEX(PT_DIFFERENTIATION_VTAR,MATCH(A99,PT_DIFFERENTIATION_VTAR_ID,0))</f>
        <v>Тарифы на услуги по передаче тепловой энергии</v>
      </c>
      <c r="G99" s="2483" t="str">
        <f>INDEX(PT_DIFFERENTIATION_NTAR,MATCH(B99,PT_DIFFERENTIATION_NTAR_ID,0))</f>
        <v/>
      </c>
      <c r="H99" s="1918"/>
      <c r="I99" s="1795"/>
      <c r="J99" s="1829"/>
      <c r="K99" s="1834"/>
      <c r="L99" s="1918" t="s">
        <v>438</v>
      </c>
      <c r="M99" s="397"/>
      <c r="N99" s="390"/>
      <c r="O99" s="1680"/>
      <c r="P99" s="1680"/>
      <c r="AH99" s="1687">
        <v>0</v>
      </c>
    </row>
    <row s="2774" customFormat="1" customHeight="1" ht="18.75" hidden="1">
      <c r="A100" s="1836"/>
      <c r="B100" s="1836"/>
      <c r="C100" s="425" t="s">
        <v>1286</v>
      </c>
      <c r="D100" s="2518"/>
      <c r="E100" s="2260"/>
      <c r="F100" s="2439"/>
      <c r="G100" s="2483"/>
      <c r="H100" s="1556"/>
      <c r="I100" s="707" t="s">
        <v>1285</v>
      </c>
      <c r="J100" s="627"/>
      <c r="K100" s="1556"/>
      <c r="L100" s="270"/>
      <c r="M100" s="397"/>
      <c r="N100" s="390"/>
      <c r="O100" s="1680"/>
      <c r="P100" s="1680"/>
      <c r="AH100" s="1687">
        <v>0</v>
      </c>
    </row>
    <row s="2774" customFormat="1" customHeight="1" ht="0.75" hidden="1">
      <c r="A101" s="1836"/>
      <c r="B101" s="1836"/>
      <c r="C101" s="425" t="s">
        <v>1293</v>
      </c>
      <c r="D101" s="2518"/>
      <c r="E101" s="2260"/>
      <c r="F101" s="2439"/>
      <c r="G101" s="456"/>
      <c r="H101" s="1556"/>
      <c r="I101" s="707"/>
      <c r="J101" s="627"/>
      <c r="K101" s="1556"/>
      <c r="L101" s="270"/>
      <c r="M101" s="397"/>
      <c r="N101" s="390"/>
      <c r="O101" s="1680"/>
      <c r="P101" s="1680"/>
      <c r="AH101" s="1687">
        <v>0</v>
      </c>
    </row>
    <row s="2774" customFormat="1" customHeight="1" ht="18.75" hidden="1">
      <c r="A102" s="1836" t="s">
        <v>258</v>
      </c>
      <c r="B102" s="1836" t="s">
        <v>259</v>
      </c>
      <c r="C102" s="425"/>
      <c r="D102" s="2518"/>
      <c r="E102" s="2260"/>
      <c r="F102" s="2439" t="str">
        <f>INDEX(PT_DIFFERENTIATION_VTAR,MATCH(A102,PT_DIFFERENTIATION_VTAR_ID,0))</f>
        <v>Тарифы на услуги по передаче теплоносителя</v>
      </c>
      <c r="G102" s="2483" t="str">
        <f>INDEX(PT_DIFFERENTIATION_NTAR,MATCH(B102,PT_DIFFERENTIATION_NTAR_ID,0))</f>
        <v/>
      </c>
      <c r="H102" s="1918"/>
      <c r="I102" s="1795"/>
      <c r="J102" s="1829"/>
      <c r="K102" s="1834"/>
      <c r="L102" s="1918" t="s">
        <v>438</v>
      </c>
      <c r="M102" s="397"/>
      <c r="N102" s="390"/>
      <c r="O102" s="1680"/>
      <c r="P102" s="1680"/>
      <c r="AH102" s="1687">
        <v>0</v>
      </c>
    </row>
    <row s="2774" customFormat="1" customHeight="1" ht="18.75" hidden="1">
      <c r="A103" s="1836"/>
      <c r="B103" s="1836"/>
      <c r="C103" s="425" t="s">
        <v>1286</v>
      </c>
      <c r="D103" s="2518"/>
      <c r="E103" s="2260"/>
      <c r="F103" s="2439"/>
      <c r="G103" s="2483"/>
      <c r="H103" s="1556"/>
      <c r="I103" s="707" t="s">
        <v>1285</v>
      </c>
      <c r="J103" s="627"/>
      <c r="K103" s="1556"/>
      <c r="L103" s="270"/>
      <c r="M103" s="397"/>
      <c r="N103" s="390"/>
      <c r="O103" s="1680"/>
      <c r="P103" s="1680"/>
      <c r="AH103" s="1687">
        <v>0</v>
      </c>
    </row>
    <row s="2774" customFormat="1" customHeight="1" ht="0.75" hidden="1">
      <c r="A104" s="1836"/>
      <c r="B104" s="1836"/>
      <c r="C104" s="425" t="s">
        <v>1293</v>
      </c>
      <c r="D104" s="2518"/>
      <c r="E104" s="2260"/>
      <c r="F104" s="2439"/>
      <c r="G104" s="456"/>
      <c r="H104" s="1556"/>
      <c r="I104" s="707"/>
      <c r="J104" s="627"/>
      <c r="K104" s="1556"/>
      <c r="L104" s="270"/>
      <c r="M104" s="397"/>
      <c r="N104" s="390"/>
      <c r="O104" s="1680"/>
      <c r="P104" s="1680"/>
      <c r="AH104" s="1687">
        <v>0</v>
      </c>
    </row>
    <row s="2774" customFormat="1" customHeight="1" ht="18.75" hidden="1">
      <c r="A105" s="1836" t="s">
        <v>264</v>
      </c>
      <c r="B105" s="1836" t="s">
        <v>265</v>
      </c>
      <c r="C105" s="425"/>
      <c r="D105" s="2518"/>
      <c r="E105" s="2260"/>
      <c r="F105" s="2439"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83" t="str">
        <f>INDEX(PT_DIFFERENTIATION_NTAR,MATCH(B105,PT_DIFFERENTIATION_NTAR_ID,0))</f>
        <v/>
      </c>
      <c r="H105" s="1918"/>
      <c r="I105" s="1795"/>
      <c r="J105" s="1829"/>
      <c r="K105" s="1834"/>
      <c r="L105" s="1918" t="s">
        <v>438</v>
      </c>
      <c r="M105" s="397"/>
      <c r="N105" s="390"/>
      <c r="O105" s="1680"/>
      <c r="P105" s="1680"/>
      <c r="AH105" s="1687">
        <v>0</v>
      </c>
    </row>
    <row s="2774" customFormat="1" customHeight="1" ht="18.75" hidden="1">
      <c r="A106" s="1836"/>
      <c r="B106" s="1836"/>
      <c r="C106" s="425" t="s">
        <v>1286</v>
      </c>
      <c r="D106" s="2518"/>
      <c r="E106" s="2260"/>
      <c r="F106" s="2439"/>
      <c r="G106" s="2483"/>
      <c r="H106" s="1556"/>
      <c r="I106" s="707" t="s">
        <v>1285</v>
      </c>
      <c r="J106" s="627"/>
      <c r="K106" s="1556"/>
      <c r="L106" s="270"/>
      <c r="M106" s="397"/>
      <c r="N106" s="390"/>
      <c r="O106" s="1680"/>
      <c r="P106" s="1680"/>
      <c r="AH106" s="1687">
        <v>0</v>
      </c>
    </row>
    <row s="2774" customFormat="1" customHeight="1" ht="0.75" hidden="1">
      <c r="A107" s="1836"/>
      <c r="B107" s="1836"/>
      <c r="C107" s="425" t="s">
        <v>1293</v>
      </c>
      <c r="D107" s="2518"/>
      <c r="E107" s="2260"/>
      <c r="F107" s="2439"/>
      <c r="G107" s="456"/>
      <c r="H107" s="1556"/>
      <c r="I107" s="707"/>
      <c r="J107" s="627"/>
      <c r="K107" s="1556"/>
      <c r="L107" s="270"/>
      <c r="M107" s="397"/>
      <c r="N107" s="390"/>
      <c r="O107" s="1680"/>
      <c r="P107" s="1680"/>
      <c r="AH107" s="1687">
        <v>0</v>
      </c>
    </row>
    <row s="2774" customFormat="1" customHeight="1" ht="18.75" hidden="1">
      <c r="A108" s="1836" t="s">
        <v>270</v>
      </c>
      <c r="B108" s="1836" t="s">
        <v>271</v>
      </c>
      <c r="C108" s="425"/>
      <c r="D108" s="2518"/>
      <c r="E108" s="2260"/>
      <c r="F108" s="2439" t="str">
        <f>INDEX(PT_DIFFERENTIATION_VTAR,MATCH(A108,PT_DIFFERENTIATION_VTAR_ID,0))</f>
        <v>Плата за подключение (технологическое присоединение) к системе теплоснабжения</v>
      </c>
      <c r="G108" s="2483" t="str">
        <f>INDEX(PT_DIFFERENTIATION_NTAR,MATCH(B108,PT_DIFFERENTIATION_NTAR_ID,0))</f>
        <v/>
      </c>
      <c r="H108" s="1918"/>
      <c r="I108" s="1795"/>
      <c r="J108" s="1829"/>
      <c r="K108" s="1834"/>
      <c r="L108" s="1918" t="s">
        <v>438</v>
      </c>
      <c r="M108" s="397"/>
      <c r="N108" s="390"/>
      <c r="O108" s="1680"/>
      <c r="P108" s="1680"/>
      <c r="AH108" s="1687">
        <v>0</v>
      </c>
    </row>
    <row s="2774" customFormat="1" customHeight="1" ht="18.75" hidden="1">
      <c r="A109" s="1836"/>
      <c r="B109" s="1836"/>
      <c r="C109" s="425" t="s">
        <v>1286</v>
      </c>
      <c r="D109" s="2518"/>
      <c r="E109" s="2260"/>
      <c r="F109" s="2439"/>
      <c r="G109" s="2483"/>
      <c r="H109" s="1556"/>
      <c r="I109" s="707" t="s">
        <v>1285</v>
      </c>
      <c r="J109" s="627"/>
      <c r="K109" s="1556"/>
      <c r="L109" s="270"/>
      <c r="M109" s="397"/>
      <c r="N109" s="390"/>
      <c r="O109" s="1680"/>
      <c r="P109" s="1680"/>
      <c r="AH109" s="1687">
        <v>0</v>
      </c>
    </row>
    <row s="2774" customFormat="1" customHeight="1" ht="0.75" hidden="1">
      <c r="A110" s="1836"/>
      <c r="B110" s="1836"/>
      <c r="C110" s="425" t="s">
        <v>1293</v>
      </c>
      <c r="D110" s="2518"/>
      <c r="E110" s="2260"/>
      <c r="F110" s="2439"/>
      <c r="G110" s="456"/>
      <c r="H110" s="1556"/>
      <c r="I110" s="707"/>
      <c r="J110" s="627"/>
      <c r="K110" s="1556"/>
      <c r="L110" s="270"/>
      <c r="M110" s="397"/>
      <c r="N110" s="390"/>
      <c r="O110" s="1680"/>
      <c r="P110" s="1680"/>
      <c r="AH110" s="1687">
        <v>0</v>
      </c>
    </row>
    <row s="2774" customFormat="1" customHeight="1" ht="18.75" hidden="1">
      <c r="A111" s="1836" t="s">
        <v>276</v>
      </c>
      <c r="B111" s="1836" t="s">
        <v>277</v>
      </c>
      <c r="C111" s="425"/>
      <c r="D111" s="2518"/>
      <c r="E111" s="2260"/>
      <c r="F111" s="2439" t="str">
        <f>INDEX(PT_DIFFERENTIATION_VTAR,MATCH(A111,PT_DIFFERENTIATION_VTAR_ID,0))</f>
        <v>Плата за подключение (технологическое присоединение) к системе теплоснабжения (индивидуальная)</v>
      </c>
      <c r="G111" s="2483" t="str">
        <f>INDEX(PT_DIFFERENTIATION_NTAR,MATCH(B111,PT_DIFFERENTIATION_NTAR_ID,0))</f>
        <v/>
      </c>
      <c r="H111" s="2045"/>
      <c r="I111" s="1795"/>
      <c r="J111" s="1829"/>
      <c r="K111" s="1834"/>
      <c r="L111" s="2045" t="s">
        <v>438</v>
      </c>
      <c r="M111" s="397"/>
      <c r="N111" s="390"/>
      <c r="O111" s="1680"/>
      <c r="P111" s="1680"/>
      <c r="AH111" s="1687">
        <v>0</v>
      </c>
    </row>
    <row s="2774" customFormat="1" customHeight="1" ht="18.75" hidden="1">
      <c r="A112" s="1836"/>
      <c r="B112" s="1836"/>
      <c r="C112" s="425" t="s">
        <v>1286</v>
      </c>
      <c r="D112" s="2518"/>
      <c r="E112" s="2260"/>
      <c r="F112" s="2439"/>
      <c r="G112" s="2483"/>
      <c r="H112" s="1556"/>
      <c r="I112" s="707" t="s">
        <v>1285</v>
      </c>
      <c r="J112" s="627"/>
      <c r="K112" s="1556"/>
      <c r="L112" s="270"/>
      <c r="M112" s="397"/>
      <c r="N112" s="390"/>
      <c r="O112" s="1680"/>
      <c r="P112" s="1680"/>
      <c r="AH112" s="1687">
        <v>0</v>
      </c>
    </row>
    <row s="2774" customFormat="1" customHeight="1" ht="0.75" hidden="1">
      <c r="A113" s="1836"/>
      <c r="B113" s="1836"/>
      <c r="C113" s="425" t="s">
        <v>1293</v>
      </c>
      <c r="D113" s="2518"/>
      <c r="E113" s="2260"/>
      <c r="F113" s="2439"/>
      <c r="G113" s="456"/>
      <c r="H113" s="1556"/>
      <c r="I113" s="707"/>
      <c r="J113" s="627"/>
      <c r="K113" s="1556"/>
      <c r="L113" s="270"/>
      <c r="M113" s="397"/>
      <c r="N113" s="390"/>
      <c r="O113" s="1680"/>
      <c r="P113" s="1680"/>
      <c r="AH113" s="1687">
        <v>0</v>
      </c>
    </row>
    <row s="2774" customFormat="1" customHeight="1" ht="18.75" hidden="1">
      <c r="A114" s="1836" t="s">
        <v>298</v>
      </c>
      <c r="B114" s="1836" t="s">
        <v>299</v>
      </c>
      <c r="C114" s="425"/>
      <c r="D114" s="2518"/>
      <c r="E114" s="2260"/>
      <c r="F114" s="2439" t="str">
        <f>INDEX(PT_DIFFERENTIATION_VTAR,MATCH(A114,PT_DIFFERENTIATION_VTAR_ID,0))</f>
        <v>Тариф на питьевую воду (питьевое водоснабжение)</v>
      </c>
      <c r="G114" s="2483" t="str">
        <f>INDEX(PT_DIFFERENTIATION_NTAR,MATCH(B114,PT_DIFFERENTIATION_NTAR_ID,0))</f>
        <v>Питьевая вода</v>
      </c>
      <c r="H114" s="1918"/>
      <c r="I114" s="1795"/>
      <c r="J114" s="1829"/>
      <c r="K114" s="1834"/>
      <c r="L114" s="1918" t="s">
        <v>438</v>
      </c>
      <c r="M114" s="397"/>
      <c r="N114" s="390"/>
      <c r="O114" s="1680"/>
      <c r="P114" s="1680"/>
      <c r="AH114" s="1687">
        <v>0</v>
      </c>
    </row>
    <row s="2774" customFormat="1" customHeight="1" ht="18.75" hidden="1">
      <c r="A115" s="1836"/>
      <c r="B115" s="1836"/>
      <c r="C115" s="425" t="s">
        <v>1286</v>
      </c>
      <c r="D115" s="2518"/>
      <c r="E115" s="2260"/>
      <c r="F115" s="2439"/>
      <c r="G115" s="2483"/>
      <c r="H115" s="1556"/>
      <c r="I115" s="707" t="s">
        <v>1285</v>
      </c>
      <c r="J115" s="627"/>
      <c r="K115" s="1556"/>
      <c r="L115" s="270"/>
      <c r="M115" s="397"/>
      <c r="N115" s="390"/>
      <c r="O115" s="1680"/>
      <c r="P115" s="1680"/>
      <c r="AH115" s="1687">
        <v>0</v>
      </c>
    </row>
    <row s="2774" customFormat="1" customHeight="1" ht="0.75" hidden="1">
      <c r="A116" s="1836"/>
      <c r="B116" s="1836"/>
      <c r="C116" s="425" t="s">
        <v>1293</v>
      </c>
      <c r="D116" s="2518"/>
      <c r="E116" s="2260"/>
      <c r="F116" s="2439"/>
      <c r="G116" s="456"/>
      <c r="H116" s="1556"/>
      <c r="I116" s="707"/>
      <c r="J116" s="627"/>
      <c r="K116" s="1556"/>
      <c r="L116" s="270"/>
      <c r="M116" s="397"/>
      <c r="N116" s="390"/>
      <c r="O116" s="1680"/>
      <c r="P116" s="1680"/>
      <c r="AH116" s="1687">
        <v>0</v>
      </c>
    </row>
    <row s="2774" customFormat="1" customHeight="1" ht="18.75" hidden="1">
      <c r="A117" s="1836" t="s">
        <v>362</v>
      </c>
      <c r="B117" s="1836" t="s">
        <v>363</v>
      </c>
      <c r="C117" s="425"/>
      <c r="D117" s="2518"/>
      <c r="E117" s="2260"/>
      <c r="F117" s="2439" t="str">
        <f>INDEX(PT_DIFFERENTIATION_VTAR,MATCH(A117,PT_DIFFERENTIATION_VTAR_ID,0))</f>
        <v>Тариф на техническую воду</v>
      </c>
      <c r="G117" s="2483" t="str">
        <f>INDEX(PT_DIFFERENTIATION_NTAR,MATCH(B117,PT_DIFFERENTIATION_NTAR_ID,0))</f>
        <v/>
      </c>
      <c r="H117" s="1918"/>
      <c r="I117" s="1795"/>
      <c r="J117" s="1829"/>
      <c r="K117" s="1834"/>
      <c r="L117" s="1918" t="s">
        <v>438</v>
      </c>
      <c r="M117" s="397"/>
      <c r="N117" s="390"/>
      <c r="O117" s="1680"/>
      <c r="P117" s="1680"/>
      <c r="AH117" s="1687">
        <v>0</v>
      </c>
    </row>
    <row s="2774" customFormat="1" customHeight="1" ht="18.75" hidden="1">
      <c r="A118" s="1836"/>
      <c r="B118" s="1836"/>
      <c r="C118" s="425" t="s">
        <v>1286</v>
      </c>
      <c r="D118" s="2518"/>
      <c r="E118" s="2260"/>
      <c r="F118" s="2439"/>
      <c r="G118" s="2483"/>
      <c r="H118" s="1556"/>
      <c r="I118" s="707" t="s">
        <v>1285</v>
      </c>
      <c r="J118" s="627"/>
      <c r="K118" s="1556"/>
      <c r="L118" s="270"/>
      <c r="M118" s="397"/>
      <c r="N118" s="390"/>
      <c r="O118" s="1680"/>
      <c r="P118" s="1680"/>
      <c r="AH118" s="1687">
        <v>0</v>
      </c>
    </row>
    <row s="2774" customFormat="1" customHeight="1" ht="0.75" hidden="1">
      <c r="A119" s="1836"/>
      <c r="B119" s="1836"/>
      <c r="C119" s="425" t="s">
        <v>1293</v>
      </c>
      <c r="D119" s="2518"/>
      <c r="E119" s="2260"/>
      <c r="F119" s="2439"/>
      <c r="G119" s="456"/>
      <c r="H119" s="1556"/>
      <c r="I119" s="707"/>
      <c r="J119" s="627"/>
      <c r="K119" s="1556"/>
      <c r="L119" s="270"/>
      <c r="M119" s="397"/>
      <c r="N119" s="390"/>
      <c r="O119" s="1680"/>
      <c r="P119" s="1680"/>
      <c r="AH119" s="1687">
        <v>0</v>
      </c>
    </row>
    <row s="2774" customFormat="1" customHeight="1" ht="18.75" hidden="1">
      <c r="A120" s="1836" t="s">
        <v>367</v>
      </c>
      <c r="B120" s="1836" t="s">
        <v>368</v>
      </c>
      <c r="C120" s="425"/>
      <c r="D120" s="2518"/>
      <c r="E120" s="2260"/>
      <c r="F120" s="2439" t="str">
        <f>INDEX(PT_DIFFERENTIATION_VTAR,MATCH(A120,PT_DIFFERENTIATION_VTAR_ID,0))</f>
        <v>Тариф на транспортировку воды</v>
      </c>
      <c r="G120" s="2483" t="str">
        <f>INDEX(PT_DIFFERENTIATION_NTAR,MATCH(B120,PT_DIFFERENTIATION_NTAR_ID,0))</f>
        <v/>
      </c>
      <c r="H120" s="1918"/>
      <c r="I120" s="1795"/>
      <c r="J120" s="1829"/>
      <c r="K120" s="1834"/>
      <c r="L120" s="1918" t="s">
        <v>438</v>
      </c>
      <c r="M120" s="397"/>
      <c r="N120" s="390"/>
      <c r="O120" s="1680"/>
      <c r="P120" s="1680"/>
      <c r="AH120" s="1687">
        <v>0</v>
      </c>
    </row>
    <row s="2774" customFormat="1" customHeight="1" ht="18.75" hidden="1">
      <c r="A121" s="1836"/>
      <c r="B121" s="1836"/>
      <c r="C121" s="425" t="s">
        <v>1286</v>
      </c>
      <c r="D121" s="2518"/>
      <c r="E121" s="2260"/>
      <c r="F121" s="2439"/>
      <c r="G121" s="2483"/>
      <c r="H121" s="1556"/>
      <c r="I121" s="707" t="s">
        <v>1285</v>
      </c>
      <c r="J121" s="627"/>
      <c r="K121" s="1556"/>
      <c r="L121" s="270"/>
      <c r="M121" s="397"/>
      <c r="N121" s="390"/>
      <c r="O121" s="1680"/>
      <c r="P121" s="1680"/>
      <c r="AH121" s="1687">
        <v>0</v>
      </c>
    </row>
    <row s="2774" customFormat="1" customHeight="1" ht="0.75" hidden="1">
      <c r="A122" s="1836"/>
      <c r="B122" s="1836"/>
      <c r="C122" s="425" t="s">
        <v>1293</v>
      </c>
      <c r="D122" s="2518"/>
      <c r="E122" s="2260"/>
      <c r="F122" s="2439"/>
      <c r="G122" s="456"/>
      <c r="H122" s="1556"/>
      <c r="I122" s="707"/>
      <c r="J122" s="627"/>
      <c r="K122" s="1556"/>
      <c r="L122" s="270"/>
      <c r="M122" s="397"/>
      <c r="N122" s="390"/>
      <c r="O122" s="1680"/>
      <c r="P122" s="1680"/>
      <c r="AH122" s="1687">
        <v>0</v>
      </c>
    </row>
    <row s="2774" customFormat="1" customHeight="1" ht="18.75" hidden="1">
      <c r="A123" s="1836" t="s">
        <v>372</v>
      </c>
      <c r="B123" s="1836" t="s">
        <v>373</v>
      </c>
      <c r="C123" s="425"/>
      <c r="D123" s="2518"/>
      <c r="E123" s="2260"/>
      <c r="F123" s="2439" t="str">
        <f>INDEX(PT_DIFFERENTIATION_VTAR,MATCH(A123,PT_DIFFERENTIATION_VTAR_ID,0))</f>
        <v>Тариф на подвоз воды</v>
      </c>
      <c r="G123" s="2483" t="str">
        <f>INDEX(PT_DIFFERENTIATION_NTAR,MATCH(B123,PT_DIFFERENTIATION_NTAR_ID,0))</f>
        <v/>
      </c>
      <c r="H123" s="1918"/>
      <c r="I123" s="1795"/>
      <c r="J123" s="1829"/>
      <c r="K123" s="1834"/>
      <c r="L123" s="1918" t="s">
        <v>438</v>
      </c>
      <c r="M123" s="397"/>
      <c r="N123" s="390"/>
      <c r="O123" s="1680"/>
      <c r="P123" s="1680"/>
      <c r="AH123" s="1687">
        <v>0</v>
      </c>
    </row>
    <row s="2774" customFormat="1" customHeight="1" ht="18.75" hidden="1">
      <c r="A124" s="1836"/>
      <c r="B124" s="1836"/>
      <c r="C124" s="425" t="s">
        <v>1286</v>
      </c>
      <c r="D124" s="2518"/>
      <c r="E124" s="2260"/>
      <c r="F124" s="2439"/>
      <c r="G124" s="2483"/>
      <c r="H124" s="1556"/>
      <c r="I124" s="707" t="s">
        <v>1285</v>
      </c>
      <c r="J124" s="627"/>
      <c r="K124" s="1556"/>
      <c r="L124" s="270"/>
      <c r="M124" s="397"/>
      <c r="N124" s="390"/>
      <c r="O124" s="1680"/>
      <c r="P124" s="1680"/>
      <c r="AH124" s="1687">
        <v>0</v>
      </c>
    </row>
    <row s="2774" customFormat="1" customHeight="1" ht="0.75" hidden="1">
      <c r="A125" s="1836"/>
      <c r="B125" s="1836"/>
      <c r="C125" s="425" t="s">
        <v>1293</v>
      </c>
      <c r="D125" s="2518"/>
      <c r="E125" s="2260"/>
      <c r="F125" s="2439"/>
      <c r="G125" s="456"/>
      <c r="H125" s="1556"/>
      <c r="I125" s="707"/>
      <c r="J125" s="627"/>
      <c r="K125" s="1556"/>
      <c r="L125" s="270"/>
      <c r="M125" s="397"/>
      <c r="N125" s="390"/>
      <c r="O125" s="1680"/>
      <c r="P125" s="1680"/>
      <c r="AH125" s="1687">
        <v>0</v>
      </c>
    </row>
    <row s="2774" customFormat="1" customHeight="1" ht="18.75" hidden="1">
      <c r="A126" s="1836" t="s">
        <v>377</v>
      </c>
      <c r="B126" s="1836" t="s">
        <v>378</v>
      </c>
      <c r="C126" s="425"/>
      <c r="D126" s="2518"/>
      <c r="E126" s="2260"/>
      <c r="F126" s="2439"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83" t="str">
        <f>INDEX(PT_DIFFERENTIATION_NTAR,MATCH(B126,PT_DIFFERENTIATION_NTAR_ID,0))</f>
        <v/>
      </c>
      <c r="H126" s="1918"/>
      <c r="I126" s="1795"/>
      <c r="J126" s="1829"/>
      <c r="K126" s="1834"/>
      <c r="L126" s="1918" t="s">
        <v>438</v>
      </c>
      <c r="M126" s="397"/>
      <c r="N126" s="390"/>
      <c r="O126" s="1680"/>
      <c r="P126" s="1680"/>
      <c r="AH126" s="1687">
        <v>0</v>
      </c>
    </row>
    <row s="2774" customFormat="1" customHeight="1" ht="18.75" hidden="1">
      <c r="A127" s="1836"/>
      <c r="B127" s="1836"/>
      <c r="C127" s="425" t="s">
        <v>1286</v>
      </c>
      <c r="D127" s="2518"/>
      <c r="E127" s="2260"/>
      <c r="F127" s="2439"/>
      <c r="G127" s="2483"/>
      <c r="H127" s="1556"/>
      <c r="I127" s="707" t="s">
        <v>1285</v>
      </c>
      <c r="J127" s="627"/>
      <c r="K127" s="1556"/>
      <c r="L127" s="270"/>
      <c r="M127" s="397"/>
      <c r="N127" s="390"/>
      <c r="O127" s="1680"/>
      <c r="P127" s="1680"/>
      <c r="AH127" s="1687">
        <v>0</v>
      </c>
    </row>
    <row s="2774" customFormat="1" customHeight="1" ht="0.75" hidden="1">
      <c r="A128" s="1836"/>
      <c r="B128" s="1836"/>
      <c r="C128" s="425" t="s">
        <v>1293</v>
      </c>
      <c r="D128" s="2518"/>
      <c r="E128" s="2260"/>
      <c r="F128" s="2439"/>
      <c r="G128" s="456"/>
      <c r="H128" s="1556"/>
      <c r="I128" s="707"/>
      <c r="J128" s="627"/>
      <c r="K128" s="1556"/>
      <c r="L128" s="270"/>
      <c r="M128" s="397"/>
      <c r="N128" s="390"/>
      <c r="O128" s="1680"/>
      <c r="P128" s="1680"/>
      <c r="AH128" s="1687">
        <v>0</v>
      </c>
    </row>
    <row s="2774" customFormat="1" customHeight="1" ht="18.75" hidden="1">
      <c r="A129" s="1836" t="s">
        <v>382</v>
      </c>
      <c r="B129" s="1836" t="s">
        <v>383</v>
      </c>
      <c r="C129" s="425"/>
      <c r="D129" s="2518"/>
      <c r="E129" s="2260"/>
      <c r="F129" s="2439" t="str">
        <f>INDEX(PT_DIFFERENTIATION_VTAR,MATCH(A129,PT_DIFFERENTIATION_VTAR_ID,0))</f>
        <v>Тариф на горячую воду (горячее водоснабжение)</v>
      </c>
      <c r="G129" s="2483" t="str">
        <f>INDEX(PT_DIFFERENTIATION_NTAR,MATCH(B129,PT_DIFFERENTIATION_NTAR_ID,0))</f>
        <v/>
      </c>
      <c r="H129" s="1918"/>
      <c r="I129" s="1795"/>
      <c r="J129" s="1829"/>
      <c r="K129" s="1834"/>
      <c r="L129" s="1918" t="s">
        <v>438</v>
      </c>
      <c r="M129" s="397"/>
      <c r="N129" s="390"/>
      <c r="O129" s="1680"/>
      <c r="P129" s="1680"/>
      <c r="AH129" s="1687">
        <v>0</v>
      </c>
    </row>
    <row s="2774" customFormat="1" customHeight="1" ht="18.75" hidden="1">
      <c r="A130" s="1836"/>
      <c r="B130" s="1836"/>
      <c r="C130" s="425" t="s">
        <v>1286</v>
      </c>
      <c r="D130" s="2518"/>
      <c r="E130" s="2260"/>
      <c r="F130" s="2439"/>
      <c r="G130" s="2483"/>
      <c r="H130" s="1556"/>
      <c r="I130" s="707" t="s">
        <v>1285</v>
      </c>
      <c r="J130" s="627"/>
      <c r="K130" s="1556"/>
      <c r="L130" s="270"/>
      <c r="M130" s="397"/>
      <c r="N130" s="390"/>
      <c r="O130" s="1680"/>
      <c r="P130" s="1680"/>
      <c r="AH130" s="1687">
        <v>0</v>
      </c>
    </row>
    <row s="2774" customFormat="1" customHeight="1" ht="0.75" hidden="1">
      <c r="A131" s="1836"/>
      <c r="B131" s="1836"/>
      <c r="C131" s="425" t="s">
        <v>1293</v>
      </c>
      <c r="D131" s="2518"/>
      <c r="E131" s="2260"/>
      <c r="F131" s="2439"/>
      <c r="G131" s="456"/>
      <c r="H131" s="1556"/>
      <c r="I131" s="707"/>
      <c r="J131" s="627"/>
      <c r="K131" s="1556"/>
      <c r="L131" s="270"/>
      <c r="M131" s="397"/>
      <c r="N131" s="390"/>
      <c r="O131" s="1680"/>
      <c r="P131" s="1680"/>
      <c r="AH131" s="1687">
        <v>0</v>
      </c>
    </row>
    <row s="2774" customFormat="1" customHeight="1" ht="18.75" hidden="1">
      <c r="A132" s="1836" t="s">
        <v>387</v>
      </c>
      <c r="B132" s="1836" t="s">
        <v>388</v>
      </c>
      <c r="C132" s="425"/>
      <c r="D132" s="2518"/>
      <c r="E132" s="2260"/>
      <c r="F132" s="2439" t="str">
        <f>INDEX(PT_DIFFERENTIATION_VTAR,MATCH(A132,PT_DIFFERENTIATION_VTAR_ID,0))</f>
        <v>Тариф на транспортировку горячей воды</v>
      </c>
      <c r="G132" s="2483" t="str">
        <f>INDEX(PT_DIFFERENTIATION_NTAR,MATCH(B132,PT_DIFFERENTIATION_NTAR_ID,0))</f>
        <v/>
      </c>
      <c r="H132" s="1918"/>
      <c r="I132" s="1795"/>
      <c r="J132" s="1829"/>
      <c r="K132" s="1834"/>
      <c r="L132" s="1918" t="s">
        <v>438</v>
      </c>
      <c r="M132" s="397"/>
      <c r="N132" s="390"/>
      <c r="O132" s="1680"/>
      <c r="P132" s="1680"/>
      <c r="AH132" s="1687">
        <v>0</v>
      </c>
    </row>
    <row s="2774" customFormat="1" customHeight="1" ht="18.75" hidden="1">
      <c r="A133" s="1836"/>
      <c r="B133" s="1836"/>
      <c r="C133" s="425" t="s">
        <v>1286</v>
      </c>
      <c r="D133" s="2518"/>
      <c r="E133" s="2260"/>
      <c r="F133" s="2439"/>
      <c r="G133" s="2483"/>
      <c r="H133" s="1556"/>
      <c r="I133" s="707" t="s">
        <v>1285</v>
      </c>
      <c r="J133" s="627"/>
      <c r="K133" s="1556"/>
      <c r="L133" s="270"/>
      <c r="M133" s="397"/>
      <c r="N133" s="390"/>
      <c r="O133" s="1680"/>
      <c r="P133" s="1680"/>
      <c r="AH133" s="1687">
        <v>0</v>
      </c>
    </row>
    <row s="2774" customFormat="1" customHeight="1" ht="0.75" hidden="1">
      <c r="A134" s="1836"/>
      <c r="B134" s="1836"/>
      <c r="C134" s="425" t="s">
        <v>1293</v>
      </c>
      <c r="D134" s="2518"/>
      <c r="E134" s="2260"/>
      <c r="F134" s="2439"/>
      <c r="G134" s="456"/>
      <c r="H134" s="1556"/>
      <c r="I134" s="707"/>
      <c r="J134" s="627"/>
      <c r="K134" s="1556"/>
      <c r="L134" s="270"/>
      <c r="M134" s="397"/>
      <c r="N134" s="390"/>
      <c r="O134" s="1680"/>
      <c r="P134" s="1680"/>
      <c r="AH134" s="1687">
        <v>0</v>
      </c>
    </row>
    <row s="2774" customFormat="1" customHeight="1" ht="18.75" hidden="1">
      <c r="A135" s="1836" t="s">
        <v>392</v>
      </c>
      <c r="B135" s="1836" t="s">
        <v>393</v>
      </c>
      <c r="C135" s="425"/>
      <c r="D135" s="2518"/>
      <c r="E135" s="2260"/>
      <c r="F135" s="2439"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83" t="str">
        <f>INDEX(PT_DIFFERENTIATION_NTAR,MATCH(B135,PT_DIFFERENTIATION_NTAR_ID,0))</f>
        <v/>
      </c>
      <c r="H135" s="1918"/>
      <c r="I135" s="1795"/>
      <c r="J135" s="1829"/>
      <c r="K135" s="1834"/>
      <c r="L135" s="1918" t="s">
        <v>438</v>
      </c>
      <c r="M135" s="397"/>
      <c r="N135" s="390"/>
      <c r="O135" s="1680"/>
      <c r="P135" s="1680"/>
      <c r="AH135" s="1687">
        <v>0</v>
      </c>
    </row>
    <row s="2774" customFormat="1" customHeight="1" ht="18.75" hidden="1">
      <c r="A136" s="1836"/>
      <c r="B136" s="1836"/>
      <c r="C136" s="425" t="s">
        <v>1286</v>
      </c>
      <c r="D136" s="2518"/>
      <c r="E136" s="2260"/>
      <c r="F136" s="2439"/>
      <c r="G136" s="2483"/>
      <c r="H136" s="1556"/>
      <c r="I136" s="707" t="s">
        <v>1285</v>
      </c>
      <c r="J136" s="627"/>
      <c r="K136" s="1556"/>
      <c r="L136" s="270"/>
      <c r="M136" s="397"/>
      <c r="N136" s="390"/>
      <c r="O136" s="1680"/>
      <c r="P136" s="1680"/>
      <c r="AH136" s="1687">
        <v>0</v>
      </c>
    </row>
    <row s="2774" customFormat="1" customHeight="1" ht="0.75" hidden="1">
      <c r="A137" s="1836"/>
      <c r="B137" s="1836"/>
      <c r="C137" s="425" t="s">
        <v>1293</v>
      </c>
      <c r="D137" s="2518"/>
      <c r="E137" s="2260"/>
      <c r="F137" s="2439"/>
      <c r="G137" s="456"/>
      <c r="H137" s="1556"/>
      <c r="I137" s="707"/>
      <c r="J137" s="627"/>
      <c r="K137" s="1556"/>
      <c r="L137" s="270"/>
      <c r="M137" s="397"/>
      <c r="N137" s="390"/>
      <c r="O137" s="1680"/>
      <c r="P137" s="1680"/>
      <c r="AH137" s="1687">
        <v>0</v>
      </c>
    </row>
    <row s="2774" customFormat="1" customHeight="1" ht="18.75" hidden="1">
      <c r="A138" s="1836" t="s">
        <v>397</v>
      </c>
      <c r="B138" s="1836" t="s">
        <v>398</v>
      </c>
      <c r="C138" s="425"/>
      <c r="D138" s="2518"/>
      <c r="E138" s="2260"/>
      <c r="F138" s="2439" t="str">
        <f>INDEX(PT_DIFFERENTIATION_VTAR,MATCH(A138,PT_DIFFERENTIATION_VTAR_ID,0))</f>
        <v>Тариф на водоотведение</v>
      </c>
      <c r="G138" s="2483" t="str">
        <f>INDEX(PT_DIFFERENTIATION_NTAR,MATCH(B138,PT_DIFFERENTIATION_NTAR_ID,0))</f>
        <v/>
      </c>
      <c r="H138" s="1918"/>
      <c r="I138" s="1795"/>
      <c r="J138" s="1829"/>
      <c r="K138" s="1834"/>
      <c r="L138" s="1918" t="s">
        <v>438</v>
      </c>
      <c r="M138" s="397"/>
      <c r="N138" s="390"/>
      <c r="O138" s="1680"/>
      <c r="P138" s="1680"/>
      <c r="AH138" s="1687">
        <v>0</v>
      </c>
    </row>
    <row s="2774" customFormat="1" customHeight="1" ht="18.75" hidden="1">
      <c r="A139" s="1836"/>
      <c r="B139" s="1836"/>
      <c r="C139" s="425" t="s">
        <v>1286</v>
      </c>
      <c r="D139" s="2518"/>
      <c r="E139" s="2260"/>
      <c r="F139" s="2439"/>
      <c r="G139" s="2483"/>
      <c r="H139" s="1556"/>
      <c r="I139" s="707" t="s">
        <v>1285</v>
      </c>
      <c r="J139" s="627"/>
      <c r="K139" s="1556"/>
      <c r="L139" s="270"/>
      <c r="M139" s="397"/>
      <c r="N139" s="390"/>
      <c r="O139" s="1680"/>
      <c r="P139" s="1680"/>
      <c r="AH139" s="1687">
        <v>0</v>
      </c>
    </row>
    <row s="2774" customFormat="1" customHeight="1" ht="0.75" hidden="1">
      <c r="A140" s="1836"/>
      <c r="B140" s="1836"/>
      <c r="C140" s="425" t="s">
        <v>1293</v>
      </c>
      <c r="D140" s="2518"/>
      <c r="E140" s="2260"/>
      <c r="F140" s="2439"/>
      <c r="G140" s="456"/>
      <c r="H140" s="1556"/>
      <c r="I140" s="707"/>
      <c r="J140" s="627"/>
      <c r="K140" s="1556"/>
      <c r="L140" s="270"/>
      <c r="M140" s="397"/>
      <c r="N140" s="390"/>
      <c r="O140" s="1680"/>
      <c r="P140" s="1680"/>
      <c r="AH140" s="1687">
        <v>0</v>
      </c>
    </row>
    <row s="2774" customFormat="1" customHeight="1" ht="18.75" hidden="1">
      <c r="A141" s="1836" t="s">
        <v>402</v>
      </c>
      <c r="B141" s="1836" t="s">
        <v>403</v>
      </c>
      <c r="C141" s="425"/>
      <c r="D141" s="2518"/>
      <c r="E141" s="2260"/>
      <c r="F141" s="2439" t="str">
        <f>INDEX(PT_DIFFERENTIATION_VTAR,MATCH(A141,PT_DIFFERENTIATION_VTAR_ID,0))</f>
        <v>Тариф на транспортировку сточных вод</v>
      </c>
      <c r="G141" s="2483" t="str">
        <f>INDEX(PT_DIFFERENTIATION_NTAR,MATCH(B141,PT_DIFFERENTIATION_NTAR_ID,0))</f>
        <v/>
      </c>
      <c r="H141" s="1918"/>
      <c r="I141" s="1795"/>
      <c r="J141" s="1829"/>
      <c r="K141" s="1834"/>
      <c r="L141" s="1918" t="s">
        <v>438</v>
      </c>
      <c r="M141" s="397"/>
      <c r="N141" s="390"/>
      <c r="O141" s="1680"/>
      <c r="P141" s="1680"/>
      <c r="AH141" s="1687">
        <v>0</v>
      </c>
    </row>
    <row s="2774" customFormat="1" customHeight="1" ht="18.75" hidden="1">
      <c r="A142" s="1836"/>
      <c r="B142" s="1836"/>
      <c r="C142" s="425" t="s">
        <v>1286</v>
      </c>
      <c r="D142" s="2518"/>
      <c r="E142" s="2260"/>
      <c r="F142" s="2439"/>
      <c r="G142" s="2483"/>
      <c r="H142" s="1556"/>
      <c r="I142" s="707" t="s">
        <v>1285</v>
      </c>
      <c r="J142" s="627"/>
      <c r="K142" s="1556"/>
      <c r="L142" s="270"/>
      <c r="M142" s="397"/>
      <c r="N142" s="390"/>
      <c r="O142" s="1680"/>
      <c r="P142" s="1680"/>
      <c r="AH142" s="1687">
        <v>0</v>
      </c>
    </row>
    <row s="2774" customFormat="1" customHeight="1" ht="0.75" hidden="1">
      <c r="A143" s="1836"/>
      <c r="B143" s="1836"/>
      <c r="C143" s="425" t="s">
        <v>1293</v>
      </c>
      <c r="D143" s="2518"/>
      <c r="E143" s="2260"/>
      <c r="F143" s="2439"/>
      <c r="G143" s="456"/>
      <c r="H143" s="1556"/>
      <c r="I143" s="707"/>
      <c r="J143" s="627"/>
      <c r="K143" s="1556"/>
      <c r="L143" s="270"/>
      <c r="M143" s="397"/>
      <c r="N143" s="390"/>
      <c r="O143" s="1680"/>
      <c r="P143" s="1680"/>
      <c r="AH143" s="1687">
        <v>0</v>
      </c>
    </row>
    <row s="2774" customFormat="1" customHeight="1" ht="18.75" hidden="1">
      <c r="A144" s="1836" t="s">
        <v>407</v>
      </c>
      <c r="B144" s="1836" t="s">
        <v>408</v>
      </c>
      <c r="C144" s="425"/>
      <c r="D144" s="2518"/>
      <c r="E144" s="2260"/>
      <c r="F144" s="2439" t="str">
        <f>INDEX(PT_DIFFERENTIATION_VTAR,MATCH(A144,PT_DIFFERENTIATION_VTAR_ID,0))</f>
        <v>Тариф на подключение (технологическое присоединение) к централизованной системе водоотведения</v>
      </c>
      <c r="G144" s="2483" t="str">
        <f>INDEX(PT_DIFFERENTIATION_NTAR,MATCH(B144,PT_DIFFERENTIATION_NTAR_ID,0))</f>
        <v/>
      </c>
      <c r="H144" s="1918"/>
      <c r="I144" s="1795"/>
      <c r="J144" s="1829"/>
      <c r="K144" s="1834"/>
      <c r="L144" s="1918" t="s">
        <v>438</v>
      </c>
      <c r="M144" s="397"/>
      <c r="N144" s="390"/>
      <c r="O144" s="1680"/>
      <c r="P144" s="1680"/>
      <c r="AH144" s="1687">
        <v>0</v>
      </c>
    </row>
    <row s="2774" customFormat="1" customHeight="1" ht="18.75" hidden="1">
      <c r="A145" s="1836"/>
      <c r="B145" s="1836"/>
      <c r="C145" s="425" t="s">
        <v>1286</v>
      </c>
      <c r="D145" s="2518"/>
      <c r="E145" s="2260"/>
      <c r="F145" s="2439"/>
      <c r="G145" s="2483"/>
      <c r="H145" s="1556"/>
      <c r="I145" s="707" t="s">
        <v>1285</v>
      </c>
      <c r="J145" s="627"/>
      <c r="K145" s="1556"/>
      <c r="L145" s="270"/>
      <c r="M145" s="397"/>
      <c r="N145" s="390"/>
      <c r="O145" s="1680"/>
      <c r="P145" s="1680"/>
      <c r="AH145" s="1687">
        <v>0</v>
      </c>
    </row>
    <row s="2774" customFormat="1" customHeight="1" ht="1.05">
      <c r="A146" s="1836"/>
      <c r="B146" s="1836"/>
      <c r="C146" s="425" t="s">
        <v>1293</v>
      </c>
      <c r="D146" s="2518"/>
      <c r="E146" s="2260"/>
      <c r="F146" s="2439"/>
      <c r="G146" s="456"/>
      <c r="H146" s="1556"/>
      <c r="I146" s="707"/>
      <c r="J146" s="627"/>
      <c r="K146" s="1556"/>
      <c r="L146" s="270"/>
      <c r="M146" s="397"/>
      <c r="N146" s="390"/>
      <c r="O146" s="1680"/>
      <c r="P146" s="1680"/>
      <c r="AH146" s="1687">
        <v>1</v>
      </c>
    </row>
    <row customHeight="1" ht="19.95">
      <c r="A147" s="1836"/>
      <c r="B147" s="1836"/>
      <c r="D147" s="432"/>
      <c r="E147" s="203" t="s">
        <v>95</v>
      </c>
      <c r="F147" s="251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516"/>
      <c r="H147" s="2516"/>
      <c r="I147" s="2516"/>
      <c r="J147" s="2516"/>
      <c r="K147" s="2516"/>
      <c r="L147" s="2516"/>
      <c r="M147" s="353"/>
      <c r="N147" s="390"/>
      <c r="AH147" s="430">
        <v>19</v>
      </c>
    </row>
    <row s="2774" customFormat="1" customHeight="1" ht="60.75" hidden="1">
      <c r="A148" s="1836" t="s">
        <v>228</v>
      </c>
      <c r="B148" s="1836" t="s">
        <v>229</v>
      </c>
      <c r="C148" s="425"/>
      <c r="D148" s="2518"/>
      <c r="E148" s="2260"/>
      <c r="F148" s="2439"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83" t="str">
        <f>INDEX(PT_DIFFERENTIATION_NTAR,MATCH(B148,PT_DIFFERENTIATION_NTAR_ID,0))</f>
        <v/>
      </c>
      <c r="H148" s="1918"/>
      <c r="I148" s="1795"/>
      <c r="J148" s="1829"/>
      <c r="K148" s="1834"/>
      <c r="L148" s="1918" t="s">
        <v>438</v>
      </c>
      <c r="M148" s="2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90"/>
      <c r="O148" s="1680"/>
      <c r="P148" s="1680"/>
      <c r="AH148" s="1687">
        <v>0</v>
      </c>
    </row>
    <row s="2774" customFormat="1" customHeight="1" ht="18.75" hidden="1">
      <c r="A149" s="1836"/>
      <c r="B149" s="1836"/>
      <c r="C149" s="425" t="s">
        <v>1286</v>
      </c>
      <c r="D149" s="2518"/>
      <c r="E149" s="2260"/>
      <c r="F149" s="2439"/>
      <c r="G149" s="2483"/>
      <c r="H149" s="1556"/>
      <c r="I149" s="707" t="s">
        <v>1285</v>
      </c>
      <c r="J149" s="627"/>
      <c r="K149" s="1556"/>
      <c r="L149" s="270"/>
      <c r="M149" s="2226"/>
      <c r="N149" s="390"/>
      <c r="O149" s="1680"/>
      <c r="P149" s="1680"/>
      <c r="AH149" s="1687">
        <v>0</v>
      </c>
    </row>
    <row s="2774" customFormat="1" customHeight="1" ht="0.75" hidden="1">
      <c r="A150" s="1836"/>
      <c r="B150" s="1836"/>
      <c r="C150" s="425" t="s">
        <v>1293</v>
      </c>
      <c r="D150" s="2518"/>
      <c r="E150" s="2260"/>
      <c r="F150" s="2439"/>
      <c r="G150" s="456"/>
      <c r="H150" s="1556"/>
      <c r="I150" s="707"/>
      <c r="J150" s="627"/>
      <c r="K150" s="1556"/>
      <c r="L150" s="270"/>
      <c r="M150" s="2226"/>
      <c r="N150" s="390"/>
      <c r="O150" s="1680"/>
      <c r="P150" s="1680"/>
      <c r="AH150" s="1687">
        <v>0</v>
      </c>
    </row>
    <row s="2774" customFormat="1" customHeight="1" ht="45" hidden="1">
      <c r="A151" s="1836" t="s">
        <v>233</v>
      </c>
      <c r="B151" s="1836" t="s">
        <v>234</v>
      </c>
      <c r="C151" s="425"/>
      <c r="D151" s="2518"/>
      <c r="E151" s="2260"/>
      <c r="F151" s="2439" t="str">
        <f>INDEX(PT_DIFFERENTIATION_VTAR,MATCH(A151,PT_DIFFERENTIATION_VTAR_ID,0))</f>
        <v/>
      </c>
      <c r="G151" s="2483" t="str">
        <f>INDEX(PT_DIFFERENTIATION_NTAR,MATCH(B151,PT_DIFFERENTIATION_NTAR_ID,0))</f>
        <v/>
      </c>
      <c r="H151" s="1918"/>
      <c r="I151" s="1795"/>
      <c r="J151" s="1829"/>
      <c r="K151" s="1834"/>
      <c r="L151" s="1918" t="s">
        <v>438</v>
      </c>
      <c r="M151" s="2227"/>
      <c r="N151" s="390"/>
      <c r="O151" s="1680"/>
      <c r="P151" s="1680"/>
      <c r="AH151" s="1687">
        <v>0</v>
      </c>
    </row>
    <row s="2774" customFormat="1" customHeight="1" ht="18.75" hidden="1">
      <c r="A152" s="1836"/>
      <c r="B152" s="1836"/>
      <c r="C152" s="425" t="s">
        <v>1286</v>
      </c>
      <c r="D152" s="2518"/>
      <c r="E152" s="2260"/>
      <c r="F152" s="2439"/>
      <c r="G152" s="2483"/>
      <c r="H152" s="1556"/>
      <c r="I152" s="707" t="s">
        <v>1285</v>
      </c>
      <c r="J152" s="627"/>
      <c r="K152" s="1556"/>
      <c r="L152" s="270"/>
      <c r="M152" s="1917"/>
      <c r="N152" s="390"/>
      <c r="O152" s="1680"/>
      <c r="P152" s="1680"/>
      <c r="AH152" s="1687">
        <v>0</v>
      </c>
    </row>
    <row s="2774" customFormat="1" customHeight="1" ht="0.75" hidden="1">
      <c r="A153" s="1836"/>
      <c r="B153" s="1836"/>
      <c r="C153" s="425" t="s">
        <v>1293</v>
      </c>
      <c r="D153" s="2518"/>
      <c r="E153" s="2260"/>
      <c r="F153" s="2439"/>
      <c r="G153" s="456"/>
      <c r="H153" s="1556"/>
      <c r="I153" s="707"/>
      <c r="J153" s="627"/>
      <c r="K153" s="1556"/>
      <c r="L153" s="270"/>
      <c r="M153" s="397"/>
      <c r="N153" s="390"/>
      <c r="O153" s="1680"/>
      <c r="P153" s="1680"/>
      <c r="AH153" s="1687">
        <v>0</v>
      </c>
    </row>
    <row s="2774" customFormat="1" customHeight="1" ht="45" hidden="1">
      <c r="A154" s="1836" t="s">
        <v>240</v>
      </c>
      <c r="B154" s="1836" t="s">
        <v>241</v>
      </c>
      <c r="C154" s="425"/>
      <c r="D154" s="2518"/>
      <c r="E154" s="2260"/>
      <c r="F154" s="2439"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83" t="str">
        <f>INDEX(PT_DIFFERENTIATION_NTAR,MATCH(B154,PT_DIFFERENTIATION_NTAR_ID,0))</f>
        <v/>
      </c>
      <c r="H154" s="1918"/>
      <c r="I154" s="1795"/>
      <c r="J154" s="1829"/>
      <c r="K154" s="1834"/>
      <c r="L154" s="1918" t="s">
        <v>438</v>
      </c>
      <c r="M154" s="397"/>
      <c r="N154" s="390"/>
      <c r="O154" s="1680"/>
      <c r="P154" s="1680"/>
      <c r="AH154" s="1687">
        <v>0</v>
      </c>
    </row>
    <row s="2774" customFormat="1" customHeight="1" ht="18.75" hidden="1">
      <c r="A155" s="1836"/>
      <c r="B155" s="1836"/>
      <c r="C155" s="425" t="s">
        <v>1286</v>
      </c>
      <c r="D155" s="2518"/>
      <c r="E155" s="2260"/>
      <c r="F155" s="2439"/>
      <c r="G155" s="2483"/>
      <c r="H155" s="1556"/>
      <c r="I155" s="707" t="s">
        <v>1285</v>
      </c>
      <c r="J155" s="627"/>
      <c r="K155" s="1556"/>
      <c r="L155" s="270"/>
      <c r="M155" s="397"/>
      <c r="N155" s="390"/>
      <c r="O155" s="1680"/>
      <c r="P155" s="1680"/>
      <c r="AH155" s="1687">
        <v>0</v>
      </c>
    </row>
    <row s="2774" customFormat="1" customHeight="1" ht="0.75" hidden="1">
      <c r="A156" s="1836"/>
      <c r="B156" s="1836"/>
      <c r="C156" s="425" t="s">
        <v>1293</v>
      </c>
      <c r="D156" s="2518"/>
      <c r="E156" s="2260"/>
      <c r="F156" s="2439"/>
      <c r="G156" s="456"/>
      <c r="H156" s="1556"/>
      <c r="I156" s="707"/>
      <c r="J156" s="627"/>
      <c r="K156" s="1556"/>
      <c r="L156" s="270"/>
      <c r="M156" s="397"/>
      <c r="N156" s="390"/>
      <c r="O156" s="1680"/>
      <c r="P156" s="1680"/>
      <c r="AH156" s="1687">
        <v>0</v>
      </c>
    </row>
    <row s="2774" customFormat="1" customHeight="1" ht="45" hidden="1">
      <c r="A157" s="1836" t="s">
        <v>246</v>
      </c>
      <c r="B157" s="1836" t="s">
        <v>247</v>
      </c>
      <c r="C157" s="425"/>
      <c r="D157" s="2518"/>
      <c r="E157" s="2260"/>
      <c r="F157" s="2439"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83" t="str">
        <f>INDEX(PT_DIFFERENTIATION_NTAR,MATCH(B157,PT_DIFFERENTIATION_NTAR_ID,0))</f>
        <v/>
      </c>
      <c r="H157" s="1918"/>
      <c r="I157" s="1795"/>
      <c r="J157" s="1829"/>
      <c r="K157" s="1834"/>
      <c r="L157" s="1918" t="s">
        <v>438</v>
      </c>
      <c r="M157" s="397"/>
      <c r="N157" s="390"/>
      <c r="O157" s="1680"/>
      <c r="P157" s="1680"/>
      <c r="AH157" s="1687">
        <v>0</v>
      </c>
    </row>
    <row s="2774" customFormat="1" customHeight="1" ht="18.75" hidden="1">
      <c r="A158" s="1836"/>
      <c r="B158" s="1836"/>
      <c r="C158" s="425" t="s">
        <v>1286</v>
      </c>
      <c r="D158" s="2518"/>
      <c r="E158" s="2260"/>
      <c r="F158" s="2439"/>
      <c r="G158" s="2483"/>
      <c r="H158" s="1556"/>
      <c r="I158" s="707" t="s">
        <v>1285</v>
      </c>
      <c r="J158" s="627"/>
      <c r="K158" s="1556"/>
      <c r="L158" s="270"/>
      <c r="M158" s="397"/>
      <c r="N158" s="390"/>
      <c r="O158" s="1680"/>
      <c r="P158" s="1680"/>
      <c r="AH158" s="1687">
        <v>0</v>
      </c>
    </row>
    <row s="2774" customFormat="1" customHeight="1" ht="0.75" hidden="1">
      <c r="A159" s="1836"/>
      <c r="B159" s="1836"/>
      <c r="C159" s="425" t="s">
        <v>1293</v>
      </c>
      <c r="D159" s="2518"/>
      <c r="E159" s="2260"/>
      <c r="F159" s="2439"/>
      <c r="G159" s="456"/>
      <c r="H159" s="1556"/>
      <c r="I159" s="707"/>
      <c r="J159" s="627"/>
      <c r="K159" s="1556"/>
      <c r="L159" s="270"/>
      <c r="M159" s="397"/>
      <c r="N159" s="390"/>
      <c r="O159" s="1680"/>
      <c r="P159" s="1680"/>
      <c r="AH159" s="1687">
        <v>0</v>
      </c>
    </row>
    <row s="2774" customFormat="1" customHeight="1" ht="18.75" hidden="1">
      <c r="A160" s="1836" t="s">
        <v>252</v>
      </c>
      <c r="B160" s="1836" t="s">
        <v>253</v>
      </c>
      <c r="C160" s="425"/>
      <c r="D160" s="2518"/>
      <c r="E160" s="2260"/>
      <c r="F160" s="2439" t="str">
        <f>INDEX(PT_DIFFERENTIATION_VTAR,MATCH(A160,PT_DIFFERENTIATION_VTAR_ID,0))</f>
        <v>Тарифы на услуги по передаче тепловой энергии</v>
      </c>
      <c r="G160" s="2483" t="str">
        <f>INDEX(PT_DIFFERENTIATION_NTAR,MATCH(B160,PT_DIFFERENTIATION_NTAR_ID,0))</f>
        <v/>
      </c>
      <c r="H160" s="1918"/>
      <c r="I160" s="1795"/>
      <c r="J160" s="1829"/>
      <c r="K160" s="1834"/>
      <c r="L160" s="1918" t="s">
        <v>438</v>
      </c>
      <c r="M160" s="397"/>
      <c r="N160" s="390"/>
      <c r="O160" s="1680"/>
      <c r="P160" s="1680"/>
      <c r="AH160" s="1687">
        <v>0</v>
      </c>
    </row>
    <row s="2774" customFormat="1" customHeight="1" ht="18.75" hidden="1">
      <c r="A161" s="1836"/>
      <c r="B161" s="1836"/>
      <c r="C161" s="425" t="s">
        <v>1286</v>
      </c>
      <c r="D161" s="2518"/>
      <c r="E161" s="2260"/>
      <c r="F161" s="2439"/>
      <c r="G161" s="2483"/>
      <c r="H161" s="1556"/>
      <c r="I161" s="707" t="s">
        <v>1285</v>
      </c>
      <c r="J161" s="627"/>
      <c r="K161" s="1556"/>
      <c r="L161" s="270"/>
      <c r="M161" s="397"/>
      <c r="N161" s="390"/>
      <c r="O161" s="1680"/>
      <c r="P161" s="1680"/>
      <c r="AH161" s="1687">
        <v>0</v>
      </c>
    </row>
    <row s="2774" customFormat="1" customHeight="1" ht="0.75" hidden="1">
      <c r="A162" s="1836"/>
      <c r="B162" s="1836"/>
      <c r="C162" s="425" t="s">
        <v>1293</v>
      </c>
      <c r="D162" s="2518"/>
      <c r="E162" s="2260"/>
      <c r="F162" s="2439"/>
      <c r="G162" s="456"/>
      <c r="H162" s="1556"/>
      <c r="I162" s="707"/>
      <c r="J162" s="627"/>
      <c r="K162" s="1556"/>
      <c r="L162" s="270"/>
      <c r="M162" s="397"/>
      <c r="N162" s="390"/>
      <c r="O162" s="1680"/>
      <c r="P162" s="1680"/>
      <c r="AH162" s="1687">
        <v>0</v>
      </c>
    </row>
    <row s="2774" customFormat="1" customHeight="1" ht="18.75" hidden="1">
      <c r="A163" s="1836" t="s">
        <v>258</v>
      </c>
      <c r="B163" s="1836" t="s">
        <v>259</v>
      </c>
      <c r="C163" s="425"/>
      <c r="D163" s="2518"/>
      <c r="E163" s="2260"/>
      <c r="F163" s="2439" t="str">
        <f>INDEX(PT_DIFFERENTIATION_VTAR,MATCH(A163,PT_DIFFERENTIATION_VTAR_ID,0))</f>
        <v>Тарифы на услуги по передаче теплоносителя</v>
      </c>
      <c r="G163" s="2483" t="str">
        <f>INDEX(PT_DIFFERENTIATION_NTAR,MATCH(B163,PT_DIFFERENTIATION_NTAR_ID,0))</f>
        <v/>
      </c>
      <c r="H163" s="1918"/>
      <c r="I163" s="1795"/>
      <c r="J163" s="1829"/>
      <c r="K163" s="1834"/>
      <c r="L163" s="1918" t="s">
        <v>438</v>
      </c>
      <c r="M163" s="397"/>
      <c r="N163" s="390"/>
      <c r="O163" s="1680"/>
      <c r="P163" s="1680"/>
      <c r="AH163" s="1687">
        <v>0</v>
      </c>
    </row>
    <row s="2774" customFormat="1" customHeight="1" ht="18.75" hidden="1">
      <c r="A164" s="1836"/>
      <c r="B164" s="1836"/>
      <c r="C164" s="425" t="s">
        <v>1286</v>
      </c>
      <c r="D164" s="2518"/>
      <c r="E164" s="2260"/>
      <c r="F164" s="2439"/>
      <c r="G164" s="2483"/>
      <c r="H164" s="1556"/>
      <c r="I164" s="707" t="s">
        <v>1285</v>
      </c>
      <c r="J164" s="627"/>
      <c r="K164" s="1556"/>
      <c r="L164" s="270"/>
      <c r="M164" s="397"/>
      <c r="N164" s="390"/>
      <c r="O164" s="1680"/>
      <c r="P164" s="1680"/>
      <c r="AH164" s="1687">
        <v>0</v>
      </c>
    </row>
    <row s="2774" customFormat="1" customHeight="1" ht="0.75" hidden="1">
      <c r="A165" s="1836"/>
      <c r="B165" s="1836"/>
      <c r="C165" s="425" t="s">
        <v>1293</v>
      </c>
      <c r="D165" s="2518"/>
      <c r="E165" s="2260"/>
      <c r="F165" s="2439"/>
      <c r="G165" s="456"/>
      <c r="H165" s="1556"/>
      <c r="I165" s="707"/>
      <c r="J165" s="627"/>
      <c r="K165" s="1556"/>
      <c r="L165" s="270"/>
      <c r="M165" s="397"/>
      <c r="N165" s="390"/>
      <c r="O165" s="1680"/>
      <c r="P165" s="1680"/>
      <c r="AH165" s="1687">
        <v>0</v>
      </c>
    </row>
    <row s="2774" customFormat="1" customHeight="1" ht="18.75" hidden="1">
      <c r="A166" s="1836" t="s">
        <v>264</v>
      </c>
      <c r="B166" s="1836" t="s">
        <v>265</v>
      </c>
      <c r="C166" s="425"/>
      <c r="D166" s="2518"/>
      <c r="E166" s="2260"/>
      <c r="F166" s="2439"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83" t="str">
        <f>INDEX(PT_DIFFERENTIATION_NTAR,MATCH(B166,PT_DIFFERENTIATION_NTAR_ID,0))</f>
        <v/>
      </c>
      <c r="H166" s="1918"/>
      <c r="I166" s="1795"/>
      <c r="J166" s="1829"/>
      <c r="K166" s="1834"/>
      <c r="L166" s="1918" t="s">
        <v>438</v>
      </c>
      <c r="M166" s="397"/>
      <c r="N166" s="390"/>
      <c r="O166" s="1680"/>
      <c r="P166" s="1680"/>
      <c r="AH166" s="1687">
        <v>0</v>
      </c>
    </row>
    <row s="2774" customFormat="1" customHeight="1" ht="18.75" hidden="1">
      <c r="A167" s="1836"/>
      <c r="B167" s="1836"/>
      <c r="C167" s="425" t="s">
        <v>1286</v>
      </c>
      <c r="D167" s="2518"/>
      <c r="E167" s="2260"/>
      <c r="F167" s="2439"/>
      <c r="G167" s="2483"/>
      <c r="H167" s="1556"/>
      <c r="I167" s="707" t="s">
        <v>1285</v>
      </c>
      <c r="J167" s="627"/>
      <c r="K167" s="1556"/>
      <c r="L167" s="270"/>
      <c r="M167" s="397"/>
      <c r="N167" s="390"/>
      <c r="O167" s="1680"/>
      <c r="P167" s="1680"/>
      <c r="AH167" s="1687">
        <v>0</v>
      </c>
    </row>
    <row s="2774" customFormat="1" customHeight="1" ht="0.75" hidden="1">
      <c r="A168" s="1836"/>
      <c r="B168" s="1836"/>
      <c r="C168" s="425" t="s">
        <v>1293</v>
      </c>
      <c r="D168" s="2518"/>
      <c r="E168" s="2260"/>
      <c r="F168" s="2439"/>
      <c r="G168" s="456"/>
      <c r="H168" s="1556"/>
      <c r="I168" s="707"/>
      <c r="J168" s="627"/>
      <c r="K168" s="1556"/>
      <c r="L168" s="270"/>
      <c r="M168" s="397"/>
      <c r="N168" s="390"/>
      <c r="O168" s="1680"/>
      <c r="P168" s="1680"/>
      <c r="AH168" s="1687">
        <v>0</v>
      </c>
    </row>
    <row s="2774" customFormat="1" customHeight="1" ht="18.75" hidden="1">
      <c r="A169" s="1836" t="s">
        <v>270</v>
      </c>
      <c r="B169" s="1836" t="s">
        <v>271</v>
      </c>
      <c r="C169" s="425"/>
      <c r="D169" s="2518"/>
      <c r="E169" s="2260"/>
      <c r="F169" s="2439" t="str">
        <f>INDEX(PT_DIFFERENTIATION_VTAR,MATCH(A169,PT_DIFFERENTIATION_VTAR_ID,0))</f>
        <v>Плата за подключение (технологическое присоединение) к системе теплоснабжения</v>
      </c>
      <c r="G169" s="2483" t="str">
        <f>INDEX(PT_DIFFERENTIATION_NTAR,MATCH(B169,PT_DIFFERENTIATION_NTAR_ID,0))</f>
        <v/>
      </c>
      <c r="H169" s="1918"/>
      <c r="I169" s="1795"/>
      <c r="J169" s="1829"/>
      <c r="K169" s="1834"/>
      <c r="L169" s="1918" t="s">
        <v>438</v>
      </c>
      <c r="M169" s="397"/>
      <c r="N169" s="390"/>
      <c r="O169" s="1680"/>
      <c r="P169" s="1680"/>
      <c r="AH169" s="1687">
        <v>0</v>
      </c>
    </row>
    <row s="2774" customFormat="1" customHeight="1" ht="18.75" hidden="1">
      <c r="A170" s="1836"/>
      <c r="B170" s="1836"/>
      <c r="C170" s="425" t="s">
        <v>1286</v>
      </c>
      <c r="D170" s="2518"/>
      <c r="E170" s="2260"/>
      <c r="F170" s="2439"/>
      <c r="G170" s="2483"/>
      <c r="H170" s="1556"/>
      <c r="I170" s="707" t="s">
        <v>1285</v>
      </c>
      <c r="J170" s="627"/>
      <c r="K170" s="1556"/>
      <c r="L170" s="270"/>
      <c r="M170" s="397"/>
      <c r="N170" s="390"/>
      <c r="O170" s="1680"/>
      <c r="P170" s="1680"/>
      <c r="AH170" s="1687">
        <v>0</v>
      </c>
    </row>
    <row s="2774" customFormat="1" customHeight="1" ht="0.75" hidden="1">
      <c r="A171" s="1836"/>
      <c r="B171" s="1836"/>
      <c r="C171" s="425" t="s">
        <v>1293</v>
      </c>
      <c r="D171" s="2518"/>
      <c r="E171" s="2260"/>
      <c r="F171" s="2439"/>
      <c r="G171" s="456"/>
      <c r="H171" s="1556"/>
      <c r="I171" s="707"/>
      <c r="J171" s="627"/>
      <c r="K171" s="1556"/>
      <c r="L171" s="270"/>
      <c r="M171" s="397"/>
      <c r="N171" s="390"/>
      <c r="O171" s="1680"/>
      <c r="P171" s="1680"/>
      <c r="AH171" s="1687">
        <v>0</v>
      </c>
    </row>
    <row s="2774" customFormat="1" customHeight="1" ht="18.75" hidden="1">
      <c r="A172" s="1836" t="s">
        <v>276</v>
      </c>
      <c r="B172" s="1836" t="s">
        <v>277</v>
      </c>
      <c r="C172" s="425"/>
      <c r="D172" s="2518"/>
      <c r="E172" s="2260"/>
      <c r="F172" s="2439" t="str">
        <f>INDEX(PT_DIFFERENTIATION_VTAR,MATCH(A172,PT_DIFFERENTIATION_VTAR_ID,0))</f>
        <v>Плата за подключение (технологическое присоединение) к системе теплоснабжения (индивидуальная)</v>
      </c>
      <c r="G172" s="2483" t="str">
        <f>INDEX(PT_DIFFERENTIATION_NTAR,MATCH(B172,PT_DIFFERENTIATION_NTAR_ID,0))</f>
        <v/>
      </c>
      <c r="H172" s="2045"/>
      <c r="I172" s="1795"/>
      <c r="J172" s="1829"/>
      <c r="K172" s="1834"/>
      <c r="L172" s="2045" t="s">
        <v>438</v>
      </c>
      <c r="M172" s="397"/>
      <c r="N172" s="390"/>
      <c r="O172" s="1680"/>
      <c r="P172" s="1680"/>
      <c r="AH172" s="1687">
        <v>0</v>
      </c>
    </row>
    <row s="2774" customFormat="1" customHeight="1" ht="18.75" hidden="1">
      <c r="A173" s="1836"/>
      <c r="B173" s="1836"/>
      <c r="C173" s="425" t="s">
        <v>1286</v>
      </c>
      <c r="D173" s="2518"/>
      <c r="E173" s="2260"/>
      <c r="F173" s="2439"/>
      <c r="G173" s="2483"/>
      <c r="H173" s="1556"/>
      <c r="I173" s="707" t="s">
        <v>1285</v>
      </c>
      <c r="J173" s="627"/>
      <c r="K173" s="1556"/>
      <c r="L173" s="270"/>
      <c r="M173" s="397"/>
      <c r="N173" s="390"/>
      <c r="O173" s="1680"/>
      <c r="P173" s="1680"/>
      <c r="AH173" s="1687">
        <v>0</v>
      </c>
    </row>
    <row s="2774" customFormat="1" customHeight="1" ht="0.75" hidden="1">
      <c r="A174" s="1836"/>
      <c r="B174" s="1836"/>
      <c r="C174" s="425" t="s">
        <v>1293</v>
      </c>
      <c r="D174" s="2518"/>
      <c r="E174" s="2260"/>
      <c r="F174" s="2439"/>
      <c r="G174" s="456"/>
      <c r="H174" s="1556"/>
      <c r="I174" s="707"/>
      <c r="J174" s="627"/>
      <c r="K174" s="1556"/>
      <c r="L174" s="270"/>
      <c r="M174" s="397"/>
      <c r="N174" s="390"/>
      <c r="O174" s="1680"/>
      <c r="P174" s="1680"/>
      <c r="AH174" s="1687">
        <v>0</v>
      </c>
    </row>
    <row s="2774" customFormat="1" customHeight="1" ht="18.75" hidden="1">
      <c r="A175" s="1836" t="s">
        <v>298</v>
      </c>
      <c r="B175" s="1836" t="s">
        <v>299</v>
      </c>
      <c r="C175" s="425"/>
      <c r="D175" s="2518"/>
      <c r="E175" s="2260"/>
      <c r="F175" s="2439" t="str">
        <f>INDEX(PT_DIFFERENTIATION_VTAR,MATCH(A175,PT_DIFFERENTIATION_VTAR_ID,0))</f>
        <v>Тариф на питьевую воду (питьевое водоснабжение)</v>
      </c>
      <c r="G175" s="2483" t="str">
        <f>INDEX(PT_DIFFERENTIATION_NTAR,MATCH(B175,PT_DIFFERENTIATION_NTAR_ID,0))</f>
        <v>Питьевая вода</v>
      </c>
      <c r="H175" s="1918"/>
      <c r="I175" s="1795"/>
      <c r="J175" s="1829"/>
      <c r="K175" s="1834"/>
      <c r="L175" s="1918" t="s">
        <v>438</v>
      </c>
      <c r="M175" s="397"/>
      <c r="N175" s="390"/>
      <c r="O175" s="1680"/>
      <c r="P175" s="1680"/>
      <c r="AH175" s="1687">
        <v>0</v>
      </c>
    </row>
    <row s="2774" customFormat="1" customHeight="1" ht="18.75" hidden="1">
      <c r="A176" s="1836"/>
      <c r="B176" s="1836"/>
      <c r="C176" s="425" t="s">
        <v>1286</v>
      </c>
      <c r="D176" s="2518"/>
      <c r="E176" s="2260"/>
      <c r="F176" s="2439"/>
      <c r="G176" s="2483"/>
      <c r="H176" s="1556"/>
      <c r="I176" s="707" t="s">
        <v>1285</v>
      </c>
      <c r="J176" s="627"/>
      <c r="K176" s="1556"/>
      <c r="L176" s="270"/>
      <c r="M176" s="397"/>
      <c r="N176" s="390"/>
      <c r="O176" s="1680"/>
      <c r="P176" s="1680"/>
      <c r="AH176" s="1687">
        <v>0</v>
      </c>
    </row>
    <row s="2774" customFormat="1" customHeight="1" ht="0.75" hidden="1">
      <c r="A177" s="1836"/>
      <c r="B177" s="1836"/>
      <c r="C177" s="425" t="s">
        <v>1293</v>
      </c>
      <c r="D177" s="2518"/>
      <c r="E177" s="2260"/>
      <c r="F177" s="2439"/>
      <c r="G177" s="456"/>
      <c r="H177" s="1556"/>
      <c r="I177" s="707"/>
      <c r="J177" s="627"/>
      <c r="K177" s="1556"/>
      <c r="L177" s="270"/>
      <c r="M177" s="397"/>
      <c r="N177" s="390"/>
      <c r="O177" s="1680"/>
      <c r="P177" s="1680"/>
      <c r="AH177" s="1687">
        <v>0</v>
      </c>
    </row>
    <row s="2774" customFormat="1" customHeight="1" ht="18.75" hidden="1">
      <c r="A178" s="1836" t="s">
        <v>362</v>
      </c>
      <c r="B178" s="1836" t="s">
        <v>363</v>
      </c>
      <c r="C178" s="425"/>
      <c r="D178" s="2518"/>
      <c r="E178" s="2260"/>
      <c r="F178" s="2439" t="str">
        <f>INDEX(PT_DIFFERENTIATION_VTAR,MATCH(A178,PT_DIFFERENTIATION_VTAR_ID,0))</f>
        <v>Тариф на техническую воду</v>
      </c>
      <c r="G178" s="2483" t="str">
        <f>INDEX(PT_DIFFERENTIATION_NTAR,MATCH(B178,PT_DIFFERENTIATION_NTAR_ID,0))</f>
        <v/>
      </c>
      <c r="H178" s="1918"/>
      <c r="I178" s="1795"/>
      <c r="J178" s="1829"/>
      <c r="K178" s="1834"/>
      <c r="L178" s="1918" t="s">
        <v>438</v>
      </c>
      <c r="M178" s="397"/>
      <c r="N178" s="390"/>
      <c r="O178" s="1680"/>
      <c r="P178" s="1680"/>
      <c r="AH178" s="1687">
        <v>0</v>
      </c>
    </row>
    <row s="2774" customFormat="1" customHeight="1" ht="18.75" hidden="1">
      <c r="A179" s="1836"/>
      <c r="B179" s="1836"/>
      <c r="C179" s="425" t="s">
        <v>1286</v>
      </c>
      <c r="D179" s="2518"/>
      <c r="E179" s="2260"/>
      <c r="F179" s="2439"/>
      <c r="G179" s="2483"/>
      <c r="H179" s="1556"/>
      <c r="I179" s="707" t="s">
        <v>1285</v>
      </c>
      <c r="J179" s="627"/>
      <c r="K179" s="1556"/>
      <c r="L179" s="270"/>
      <c r="M179" s="397"/>
      <c r="N179" s="390"/>
      <c r="O179" s="1680"/>
      <c r="P179" s="1680"/>
      <c r="AH179" s="1687">
        <v>0</v>
      </c>
    </row>
    <row s="2774" customFormat="1" customHeight="1" ht="0.75" hidden="1">
      <c r="A180" s="1836"/>
      <c r="B180" s="1836"/>
      <c r="C180" s="425" t="s">
        <v>1293</v>
      </c>
      <c r="D180" s="2518"/>
      <c r="E180" s="2260"/>
      <c r="F180" s="2439"/>
      <c r="G180" s="456"/>
      <c r="H180" s="1556"/>
      <c r="I180" s="707"/>
      <c r="J180" s="627"/>
      <c r="K180" s="1556"/>
      <c r="L180" s="270"/>
      <c r="M180" s="397"/>
      <c r="N180" s="390"/>
      <c r="O180" s="1680"/>
      <c r="P180" s="1680"/>
      <c r="AH180" s="1687">
        <v>0</v>
      </c>
    </row>
    <row s="2774" customFormat="1" customHeight="1" ht="18.75" hidden="1">
      <c r="A181" s="1836" t="s">
        <v>367</v>
      </c>
      <c r="B181" s="1836" t="s">
        <v>368</v>
      </c>
      <c r="C181" s="425"/>
      <c r="D181" s="2518"/>
      <c r="E181" s="2260"/>
      <c r="F181" s="2439" t="str">
        <f>INDEX(PT_DIFFERENTIATION_VTAR,MATCH(A181,PT_DIFFERENTIATION_VTAR_ID,0))</f>
        <v>Тариф на транспортировку воды</v>
      </c>
      <c r="G181" s="2483" t="str">
        <f>INDEX(PT_DIFFERENTIATION_NTAR,MATCH(B181,PT_DIFFERENTIATION_NTAR_ID,0))</f>
        <v/>
      </c>
      <c r="H181" s="1918"/>
      <c r="I181" s="1795"/>
      <c r="J181" s="1829"/>
      <c r="K181" s="1834"/>
      <c r="L181" s="1918" t="s">
        <v>438</v>
      </c>
      <c r="M181" s="397"/>
      <c r="N181" s="390"/>
      <c r="O181" s="1680"/>
      <c r="P181" s="1680"/>
      <c r="AH181" s="1687">
        <v>0</v>
      </c>
    </row>
    <row s="2774" customFormat="1" customHeight="1" ht="18.75" hidden="1">
      <c r="A182" s="1836"/>
      <c r="B182" s="1836"/>
      <c r="C182" s="425" t="s">
        <v>1286</v>
      </c>
      <c r="D182" s="2518"/>
      <c r="E182" s="2260"/>
      <c r="F182" s="2439"/>
      <c r="G182" s="2483"/>
      <c r="H182" s="1556"/>
      <c r="I182" s="707" t="s">
        <v>1285</v>
      </c>
      <c r="J182" s="627"/>
      <c r="K182" s="1556"/>
      <c r="L182" s="270"/>
      <c r="M182" s="397"/>
      <c r="N182" s="390"/>
      <c r="O182" s="1680"/>
      <c r="P182" s="1680"/>
      <c r="AH182" s="1687">
        <v>0</v>
      </c>
    </row>
    <row s="2774" customFormat="1" customHeight="1" ht="0.75" hidden="1">
      <c r="A183" s="1836"/>
      <c r="B183" s="1836"/>
      <c r="C183" s="425" t="s">
        <v>1293</v>
      </c>
      <c r="D183" s="2518"/>
      <c r="E183" s="2260"/>
      <c r="F183" s="2439"/>
      <c r="G183" s="456"/>
      <c r="H183" s="1556"/>
      <c r="I183" s="707"/>
      <c r="J183" s="627"/>
      <c r="K183" s="1556"/>
      <c r="L183" s="270"/>
      <c r="M183" s="397"/>
      <c r="N183" s="390"/>
      <c r="O183" s="1680"/>
      <c r="P183" s="1680"/>
      <c r="AH183" s="1687">
        <v>0</v>
      </c>
    </row>
    <row s="2774" customFormat="1" customHeight="1" ht="18.75" hidden="1">
      <c r="A184" s="1836" t="s">
        <v>372</v>
      </c>
      <c r="B184" s="1836" t="s">
        <v>373</v>
      </c>
      <c r="C184" s="425"/>
      <c r="D184" s="2518"/>
      <c r="E184" s="2260"/>
      <c r="F184" s="2439" t="str">
        <f>INDEX(PT_DIFFERENTIATION_VTAR,MATCH(A184,PT_DIFFERENTIATION_VTAR_ID,0))</f>
        <v>Тариф на подвоз воды</v>
      </c>
      <c r="G184" s="2483" t="str">
        <f>INDEX(PT_DIFFERENTIATION_NTAR,MATCH(B184,PT_DIFFERENTIATION_NTAR_ID,0))</f>
        <v/>
      </c>
      <c r="H184" s="1918"/>
      <c r="I184" s="1795"/>
      <c r="J184" s="1829"/>
      <c r="K184" s="1834"/>
      <c r="L184" s="1918" t="s">
        <v>438</v>
      </c>
      <c r="M184" s="397"/>
      <c r="N184" s="390"/>
      <c r="O184" s="1680"/>
      <c r="P184" s="1680"/>
      <c r="AH184" s="1687">
        <v>0</v>
      </c>
    </row>
    <row s="2774" customFormat="1" customHeight="1" ht="18.75" hidden="1">
      <c r="A185" s="1836"/>
      <c r="B185" s="1836"/>
      <c r="C185" s="425" t="s">
        <v>1286</v>
      </c>
      <c r="D185" s="2518"/>
      <c r="E185" s="2260"/>
      <c r="F185" s="2439"/>
      <c r="G185" s="2483"/>
      <c r="H185" s="1556"/>
      <c r="I185" s="707" t="s">
        <v>1285</v>
      </c>
      <c r="J185" s="627"/>
      <c r="K185" s="1556"/>
      <c r="L185" s="270"/>
      <c r="M185" s="397"/>
      <c r="N185" s="390"/>
      <c r="O185" s="1680"/>
      <c r="P185" s="1680"/>
      <c r="AH185" s="1687">
        <v>0</v>
      </c>
    </row>
    <row s="2774" customFormat="1" customHeight="1" ht="0.75" hidden="1">
      <c r="A186" s="1836"/>
      <c r="B186" s="1836"/>
      <c r="C186" s="425" t="s">
        <v>1293</v>
      </c>
      <c r="D186" s="2518"/>
      <c r="E186" s="2260"/>
      <c r="F186" s="2439"/>
      <c r="G186" s="456"/>
      <c r="H186" s="1556"/>
      <c r="I186" s="707"/>
      <c r="J186" s="627"/>
      <c r="K186" s="1556"/>
      <c r="L186" s="270"/>
      <c r="M186" s="397"/>
      <c r="N186" s="390"/>
      <c r="O186" s="1680"/>
      <c r="P186" s="1680"/>
      <c r="AH186" s="1687">
        <v>0</v>
      </c>
    </row>
    <row s="2774" customFormat="1" customHeight="1" ht="18.75" hidden="1">
      <c r="A187" s="1836" t="s">
        <v>377</v>
      </c>
      <c r="B187" s="1836" t="s">
        <v>378</v>
      </c>
      <c r="C187" s="425"/>
      <c r="D187" s="2518"/>
      <c r="E187" s="2260"/>
      <c r="F187" s="2439"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83" t="str">
        <f>INDEX(PT_DIFFERENTIATION_NTAR,MATCH(B187,PT_DIFFERENTIATION_NTAR_ID,0))</f>
        <v/>
      </c>
      <c r="H187" s="1918"/>
      <c r="I187" s="1795"/>
      <c r="J187" s="1829"/>
      <c r="K187" s="1834"/>
      <c r="L187" s="1918" t="s">
        <v>438</v>
      </c>
      <c r="M187" s="397"/>
      <c r="N187" s="390"/>
      <c r="O187" s="1680"/>
      <c r="P187" s="1680"/>
      <c r="AH187" s="1687">
        <v>0</v>
      </c>
    </row>
    <row s="2774" customFormat="1" customHeight="1" ht="18.75" hidden="1">
      <c r="A188" s="1836"/>
      <c r="B188" s="1836"/>
      <c r="C188" s="425" t="s">
        <v>1286</v>
      </c>
      <c r="D188" s="2518"/>
      <c r="E188" s="2260"/>
      <c r="F188" s="2439"/>
      <c r="G188" s="2483"/>
      <c r="H188" s="1556"/>
      <c r="I188" s="707" t="s">
        <v>1285</v>
      </c>
      <c r="J188" s="627"/>
      <c r="K188" s="1556"/>
      <c r="L188" s="270"/>
      <c r="M188" s="397"/>
      <c r="N188" s="390"/>
      <c r="O188" s="1680"/>
      <c r="P188" s="1680"/>
      <c r="AH188" s="1687">
        <v>0</v>
      </c>
    </row>
    <row s="2774" customFormat="1" customHeight="1" ht="0.75" hidden="1">
      <c r="A189" s="1836"/>
      <c r="B189" s="1836"/>
      <c r="C189" s="425" t="s">
        <v>1293</v>
      </c>
      <c r="D189" s="2518"/>
      <c r="E189" s="2260"/>
      <c r="F189" s="2439"/>
      <c r="G189" s="456"/>
      <c r="H189" s="1556"/>
      <c r="I189" s="707"/>
      <c r="J189" s="627"/>
      <c r="K189" s="1556"/>
      <c r="L189" s="270"/>
      <c r="M189" s="397"/>
      <c r="N189" s="390"/>
      <c r="O189" s="1680"/>
      <c r="P189" s="1680"/>
      <c r="AH189" s="1687">
        <v>0</v>
      </c>
    </row>
    <row s="2774" customFormat="1" customHeight="1" ht="18.75" hidden="1">
      <c r="A190" s="1836" t="s">
        <v>382</v>
      </c>
      <c r="B190" s="1836" t="s">
        <v>383</v>
      </c>
      <c r="C190" s="425"/>
      <c r="D190" s="2518"/>
      <c r="E190" s="2260"/>
      <c r="F190" s="2439" t="str">
        <f>INDEX(PT_DIFFERENTIATION_VTAR,MATCH(A190,PT_DIFFERENTIATION_VTAR_ID,0))</f>
        <v>Тариф на горячую воду (горячее водоснабжение)</v>
      </c>
      <c r="G190" s="2483" t="str">
        <f>INDEX(PT_DIFFERENTIATION_NTAR,MATCH(B190,PT_DIFFERENTIATION_NTAR_ID,0))</f>
        <v/>
      </c>
      <c r="H190" s="1918"/>
      <c r="I190" s="1795"/>
      <c r="J190" s="1829"/>
      <c r="K190" s="1834"/>
      <c r="L190" s="1918" t="s">
        <v>438</v>
      </c>
      <c r="M190" s="397"/>
      <c r="N190" s="390"/>
      <c r="O190" s="1680"/>
      <c r="P190" s="1680"/>
      <c r="AH190" s="1687">
        <v>0</v>
      </c>
    </row>
    <row s="2774" customFormat="1" customHeight="1" ht="18.75" hidden="1">
      <c r="A191" s="1836"/>
      <c r="B191" s="1836"/>
      <c r="C191" s="425" t="s">
        <v>1286</v>
      </c>
      <c r="D191" s="2518"/>
      <c r="E191" s="2260"/>
      <c r="F191" s="2439"/>
      <c r="G191" s="2483"/>
      <c r="H191" s="1556"/>
      <c r="I191" s="707" t="s">
        <v>1285</v>
      </c>
      <c r="J191" s="627"/>
      <c r="K191" s="1556"/>
      <c r="L191" s="270"/>
      <c r="M191" s="397"/>
      <c r="N191" s="390"/>
      <c r="O191" s="1680"/>
      <c r="P191" s="1680"/>
      <c r="AH191" s="1687">
        <v>0</v>
      </c>
    </row>
    <row s="2774" customFormat="1" customHeight="1" ht="0.75" hidden="1">
      <c r="A192" s="1836"/>
      <c r="B192" s="1836"/>
      <c r="C192" s="425" t="s">
        <v>1293</v>
      </c>
      <c r="D192" s="2518"/>
      <c r="E192" s="2260"/>
      <c r="F192" s="2439"/>
      <c r="G192" s="456"/>
      <c r="H192" s="1556"/>
      <c r="I192" s="707"/>
      <c r="J192" s="627"/>
      <c r="K192" s="1556"/>
      <c r="L192" s="270"/>
      <c r="M192" s="397"/>
      <c r="N192" s="390"/>
      <c r="O192" s="1680"/>
      <c r="P192" s="1680"/>
      <c r="AH192" s="1687">
        <v>0</v>
      </c>
    </row>
    <row s="2774" customFormat="1" customHeight="1" ht="18.75" hidden="1">
      <c r="A193" s="1836" t="s">
        <v>387</v>
      </c>
      <c r="B193" s="1836" t="s">
        <v>388</v>
      </c>
      <c r="C193" s="425"/>
      <c r="D193" s="2518"/>
      <c r="E193" s="2260"/>
      <c r="F193" s="2439" t="str">
        <f>INDEX(PT_DIFFERENTIATION_VTAR,MATCH(A193,PT_DIFFERENTIATION_VTAR_ID,0))</f>
        <v>Тариф на транспортировку горячей воды</v>
      </c>
      <c r="G193" s="2483" t="str">
        <f>INDEX(PT_DIFFERENTIATION_NTAR,MATCH(B193,PT_DIFFERENTIATION_NTAR_ID,0))</f>
        <v/>
      </c>
      <c r="H193" s="1918"/>
      <c r="I193" s="1795"/>
      <c r="J193" s="1829"/>
      <c r="K193" s="1834"/>
      <c r="L193" s="1918" t="s">
        <v>438</v>
      </c>
      <c r="M193" s="397"/>
      <c r="N193" s="390"/>
      <c r="O193" s="1680"/>
      <c r="P193" s="1680"/>
      <c r="AH193" s="1687">
        <v>0</v>
      </c>
    </row>
    <row s="2774" customFormat="1" customHeight="1" ht="18.75" hidden="1">
      <c r="A194" s="1836"/>
      <c r="B194" s="1836"/>
      <c r="C194" s="425" t="s">
        <v>1286</v>
      </c>
      <c r="D194" s="2518"/>
      <c r="E194" s="2260"/>
      <c r="F194" s="2439"/>
      <c r="G194" s="2483"/>
      <c r="H194" s="1556"/>
      <c r="I194" s="707" t="s">
        <v>1285</v>
      </c>
      <c r="J194" s="627"/>
      <c r="K194" s="1556"/>
      <c r="L194" s="270"/>
      <c r="M194" s="397"/>
      <c r="N194" s="390"/>
      <c r="O194" s="1680"/>
      <c r="P194" s="1680"/>
      <c r="AH194" s="1687">
        <v>0</v>
      </c>
    </row>
    <row s="2774" customFormat="1" customHeight="1" ht="0.75" hidden="1">
      <c r="A195" s="1836"/>
      <c r="B195" s="1836"/>
      <c r="C195" s="425" t="s">
        <v>1293</v>
      </c>
      <c r="D195" s="2518"/>
      <c r="E195" s="2260"/>
      <c r="F195" s="2439"/>
      <c r="G195" s="456"/>
      <c r="H195" s="1556"/>
      <c r="I195" s="707"/>
      <c r="J195" s="627"/>
      <c r="K195" s="1556"/>
      <c r="L195" s="270"/>
      <c r="M195" s="397"/>
      <c r="N195" s="390"/>
      <c r="O195" s="1680"/>
      <c r="P195" s="1680"/>
      <c r="AH195" s="1687">
        <v>0</v>
      </c>
    </row>
    <row s="2774" customFormat="1" customHeight="1" ht="18.75" hidden="1">
      <c r="A196" s="1836" t="s">
        <v>392</v>
      </c>
      <c r="B196" s="1836" t="s">
        <v>393</v>
      </c>
      <c r="C196" s="425"/>
      <c r="D196" s="2518"/>
      <c r="E196" s="2260"/>
      <c r="F196" s="2439"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83" t="str">
        <f>INDEX(PT_DIFFERENTIATION_NTAR,MATCH(B196,PT_DIFFERENTIATION_NTAR_ID,0))</f>
        <v/>
      </c>
      <c r="H196" s="1918"/>
      <c r="I196" s="1795"/>
      <c r="J196" s="1829"/>
      <c r="K196" s="1834"/>
      <c r="L196" s="1918" t="s">
        <v>438</v>
      </c>
      <c r="M196" s="397"/>
      <c r="N196" s="390"/>
      <c r="O196" s="1680"/>
      <c r="P196" s="1680"/>
      <c r="AH196" s="1687">
        <v>0</v>
      </c>
    </row>
    <row s="2774" customFormat="1" customHeight="1" ht="18.75" hidden="1">
      <c r="A197" s="1836"/>
      <c r="B197" s="1836"/>
      <c r="C197" s="425" t="s">
        <v>1286</v>
      </c>
      <c r="D197" s="2518"/>
      <c r="E197" s="2260"/>
      <c r="F197" s="2439"/>
      <c r="G197" s="2483"/>
      <c r="H197" s="1556"/>
      <c r="I197" s="707" t="s">
        <v>1285</v>
      </c>
      <c r="J197" s="627"/>
      <c r="K197" s="1556"/>
      <c r="L197" s="270"/>
      <c r="M197" s="397"/>
      <c r="N197" s="390"/>
      <c r="O197" s="1680"/>
      <c r="P197" s="1680"/>
      <c r="AH197" s="1687">
        <v>0</v>
      </c>
    </row>
    <row s="2774" customFormat="1" customHeight="1" ht="0.75" hidden="1">
      <c r="A198" s="1836"/>
      <c r="B198" s="1836"/>
      <c r="C198" s="425" t="s">
        <v>1293</v>
      </c>
      <c r="D198" s="2518"/>
      <c r="E198" s="2260"/>
      <c r="F198" s="2439"/>
      <c r="G198" s="456"/>
      <c r="H198" s="1556"/>
      <c r="I198" s="707"/>
      <c r="J198" s="627"/>
      <c r="K198" s="1556"/>
      <c r="L198" s="270"/>
      <c r="M198" s="397"/>
      <c r="N198" s="390"/>
      <c r="O198" s="1680"/>
      <c r="P198" s="1680"/>
      <c r="AH198" s="1687">
        <v>0</v>
      </c>
    </row>
    <row s="2774" customFormat="1" customHeight="1" ht="18.75" hidden="1">
      <c r="A199" s="1836" t="s">
        <v>397</v>
      </c>
      <c r="B199" s="1836" t="s">
        <v>398</v>
      </c>
      <c r="C199" s="425"/>
      <c r="D199" s="2518"/>
      <c r="E199" s="2260"/>
      <c r="F199" s="2439" t="str">
        <f>INDEX(PT_DIFFERENTIATION_VTAR,MATCH(A199,PT_DIFFERENTIATION_VTAR_ID,0))</f>
        <v>Тариф на водоотведение</v>
      </c>
      <c r="G199" s="2483" t="str">
        <f>INDEX(PT_DIFFERENTIATION_NTAR,MATCH(B199,PT_DIFFERENTIATION_NTAR_ID,0))</f>
        <v/>
      </c>
      <c r="H199" s="1918"/>
      <c r="I199" s="1795"/>
      <c r="J199" s="1829"/>
      <c r="K199" s="1834"/>
      <c r="L199" s="1918" t="s">
        <v>438</v>
      </c>
      <c r="M199" s="397"/>
      <c r="N199" s="390"/>
      <c r="O199" s="1680"/>
      <c r="P199" s="1680"/>
      <c r="AH199" s="1687">
        <v>0</v>
      </c>
    </row>
    <row s="2774" customFormat="1" customHeight="1" ht="18.75" hidden="1">
      <c r="A200" s="1836"/>
      <c r="B200" s="1836"/>
      <c r="C200" s="425" t="s">
        <v>1286</v>
      </c>
      <c r="D200" s="2518"/>
      <c r="E200" s="2260"/>
      <c r="F200" s="2439"/>
      <c r="G200" s="2483"/>
      <c r="H200" s="1556"/>
      <c r="I200" s="707" t="s">
        <v>1285</v>
      </c>
      <c r="J200" s="627"/>
      <c r="K200" s="1556"/>
      <c r="L200" s="270"/>
      <c r="M200" s="397"/>
      <c r="N200" s="390"/>
      <c r="O200" s="1680"/>
      <c r="P200" s="1680"/>
      <c r="AH200" s="1687">
        <v>0</v>
      </c>
    </row>
    <row s="2774" customFormat="1" customHeight="1" ht="0.75" hidden="1">
      <c r="A201" s="1836"/>
      <c r="B201" s="1836"/>
      <c r="C201" s="425" t="s">
        <v>1293</v>
      </c>
      <c r="D201" s="2518"/>
      <c r="E201" s="2260"/>
      <c r="F201" s="2439"/>
      <c r="G201" s="456"/>
      <c r="H201" s="1556"/>
      <c r="I201" s="707"/>
      <c r="J201" s="627"/>
      <c r="K201" s="1556"/>
      <c r="L201" s="270"/>
      <c r="M201" s="397"/>
      <c r="N201" s="390"/>
      <c r="O201" s="1680"/>
      <c r="P201" s="1680"/>
      <c r="AH201" s="1687">
        <v>0</v>
      </c>
    </row>
    <row s="2774" customFormat="1" customHeight="1" ht="18.75" hidden="1">
      <c r="A202" s="1836" t="s">
        <v>402</v>
      </c>
      <c r="B202" s="1836" t="s">
        <v>403</v>
      </c>
      <c r="C202" s="425"/>
      <c r="D202" s="2518"/>
      <c r="E202" s="2260"/>
      <c r="F202" s="2439" t="str">
        <f>INDEX(PT_DIFFERENTIATION_VTAR,MATCH(A202,PT_DIFFERENTIATION_VTAR_ID,0))</f>
        <v>Тариф на транспортировку сточных вод</v>
      </c>
      <c r="G202" s="2483" t="str">
        <f>INDEX(PT_DIFFERENTIATION_NTAR,MATCH(B202,PT_DIFFERENTIATION_NTAR_ID,0))</f>
        <v/>
      </c>
      <c r="H202" s="1918"/>
      <c r="I202" s="1795"/>
      <c r="J202" s="1829"/>
      <c r="K202" s="1834"/>
      <c r="L202" s="1918" t="s">
        <v>438</v>
      </c>
      <c r="M202" s="397"/>
      <c r="N202" s="390"/>
      <c r="O202" s="1680"/>
      <c r="P202" s="1680"/>
      <c r="AH202" s="1687">
        <v>0</v>
      </c>
    </row>
    <row s="2774" customFormat="1" customHeight="1" ht="18.75" hidden="1">
      <c r="A203" s="1836"/>
      <c r="B203" s="1836"/>
      <c r="C203" s="425" t="s">
        <v>1286</v>
      </c>
      <c r="D203" s="2518"/>
      <c r="E203" s="2260"/>
      <c r="F203" s="2439"/>
      <c r="G203" s="2483"/>
      <c r="H203" s="1556"/>
      <c r="I203" s="707" t="s">
        <v>1285</v>
      </c>
      <c r="J203" s="627"/>
      <c r="K203" s="1556"/>
      <c r="L203" s="270"/>
      <c r="M203" s="397"/>
      <c r="N203" s="390"/>
      <c r="O203" s="1680"/>
      <c r="P203" s="1680"/>
      <c r="AH203" s="1687">
        <v>0</v>
      </c>
    </row>
    <row s="2774" customFormat="1" customHeight="1" ht="0.75" hidden="1">
      <c r="A204" s="1836"/>
      <c r="B204" s="1836"/>
      <c r="C204" s="425" t="s">
        <v>1293</v>
      </c>
      <c r="D204" s="2518"/>
      <c r="E204" s="2260"/>
      <c r="F204" s="2439"/>
      <c r="G204" s="456"/>
      <c r="H204" s="1556"/>
      <c r="I204" s="707"/>
      <c r="J204" s="627"/>
      <c r="K204" s="1556"/>
      <c r="L204" s="270"/>
      <c r="M204" s="397"/>
      <c r="N204" s="390"/>
      <c r="O204" s="1680"/>
      <c r="P204" s="1680"/>
      <c r="AH204" s="1687">
        <v>0</v>
      </c>
    </row>
    <row s="2774" customFormat="1" customHeight="1" ht="18.75" hidden="1">
      <c r="A205" s="1836" t="s">
        <v>407</v>
      </c>
      <c r="B205" s="1836" t="s">
        <v>408</v>
      </c>
      <c r="C205" s="425"/>
      <c r="D205" s="2518"/>
      <c r="E205" s="2260"/>
      <c r="F205" s="2439" t="str">
        <f>INDEX(PT_DIFFERENTIATION_VTAR,MATCH(A205,PT_DIFFERENTIATION_VTAR_ID,0))</f>
        <v>Тариф на подключение (технологическое присоединение) к централизованной системе водоотведения</v>
      </c>
      <c r="G205" s="2483" t="str">
        <f>INDEX(PT_DIFFERENTIATION_NTAR,MATCH(B205,PT_DIFFERENTIATION_NTAR_ID,0))</f>
        <v/>
      </c>
      <c r="H205" s="1918"/>
      <c r="I205" s="1795"/>
      <c r="J205" s="1829"/>
      <c r="K205" s="1834"/>
      <c r="L205" s="1918" t="s">
        <v>438</v>
      </c>
      <c r="M205" s="397"/>
      <c r="N205" s="390"/>
      <c r="O205" s="1680"/>
      <c r="P205" s="1680"/>
      <c r="AH205" s="1687">
        <v>0</v>
      </c>
    </row>
    <row s="2774" customFormat="1" customHeight="1" ht="18.75" hidden="1">
      <c r="A206" s="1836"/>
      <c r="B206" s="1836"/>
      <c r="C206" s="425" t="s">
        <v>1286</v>
      </c>
      <c r="D206" s="2518"/>
      <c r="E206" s="2260"/>
      <c r="F206" s="2439"/>
      <c r="G206" s="2483"/>
      <c r="H206" s="1556"/>
      <c r="I206" s="707" t="s">
        <v>1285</v>
      </c>
      <c r="J206" s="627"/>
      <c r="K206" s="1556"/>
      <c r="L206" s="270"/>
      <c r="M206" s="397"/>
      <c r="N206" s="390"/>
      <c r="O206" s="1680"/>
      <c r="P206" s="1680"/>
      <c r="AH206" s="1687">
        <v>0</v>
      </c>
    </row>
    <row s="2774" customFormat="1" customHeight="1" ht="1.05">
      <c r="A207" s="1836"/>
      <c r="B207" s="1836"/>
      <c r="C207" s="425" t="s">
        <v>1293</v>
      </c>
      <c r="D207" s="2518"/>
      <c r="E207" s="2260"/>
      <c r="F207" s="2439"/>
      <c r="G207" s="456"/>
      <c r="H207" s="1556"/>
      <c r="I207" s="707"/>
      <c r="J207" s="627"/>
      <c r="K207" s="1556"/>
      <c r="L207" s="270"/>
      <c r="M207" s="397"/>
      <c r="N207" s="390"/>
      <c r="O207" s="1680"/>
      <c r="P207" s="1680"/>
      <c r="AH207" s="1687">
        <v>1</v>
      </c>
    </row>
    <row customHeight="1" ht="27.299999999999997">
      <c r="A208" s="1836"/>
      <c r="B208" s="1836"/>
      <c r="D208" s="432"/>
      <c r="E208" s="203" t="s">
        <v>122</v>
      </c>
      <c r="F208" s="251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16"/>
      <c r="H208" s="2516"/>
      <c r="I208" s="2516"/>
      <c r="J208" s="2516"/>
      <c r="K208" s="2516"/>
      <c r="L208" s="2516"/>
      <c r="M208" s="353"/>
      <c r="N208" s="390"/>
      <c r="AH208" s="430">
        <v>26</v>
      </c>
    </row>
    <row s="2774" customFormat="1" customHeight="1" ht="60.75" hidden="1">
      <c r="A209" s="1836" t="s">
        <v>228</v>
      </c>
      <c r="B209" s="1836" t="s">
        <v>229</v>
      </c>
      <c r="C209" s="425"/>
      <c r="D209" s="2518"/>
      <c r="E209" s="2260"/>
      <c r="F209" s="2439"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83" t="str">
        <f>INDEX(PT_DIFFERENTIATION_NTAR,MATCH(B209,PT_DIFFERENTIATION_NTAR_ID,0))</f>
        <v/>
      </c>
      <c r="H209" s="1918"/>
      <c r="I209" s="1795"/>
      <c r="J209" s="1829"/>
      <c r="K209" s="1834"/>
      <c r="L209" s="1918" t="s">
        <v>438</v>
      </c>
      <c r="M209" s="2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390"/>
      <c r="O209" s="1680"/>
      <c r="P209" s="1680"/>
      <c r="AH209" s="1687">
        <v>0</v>
      </c>
    </row>
    <row s="2774" customFormat="1" customHeight="1" ht="18.75" hidden="1">
      <c r="A210" s="1836"/>
      <c r="B210" s="1836"/>
      <c r="C210" s="425" t="s">
        <v>1286</v>
      </c>
      <c r="D210" s="2518"/>
      <c r="E210" s="2260"/>
      <c r="F210" s="2439"/>
      <c r="G210" s="2483"/>
      <c r="H210" s="1556"/>
      <c r="I210" s="707" t="s">
        <v>1285</v>
      </c>
      <c r="J210" s="627"/>
      <c r="K210" s="1556"/>
      <c r="L210" s="270"/>
      <c r="M210" s="2226"/>
      <c r="N210" s="390"/>
      <c r="O210" s="1680"/>
      <c r="P210" s="1680"/>
      <c r="AH210" s="1687">
        <v>0</v>
      </c>
    </row>
    <row s="2774" customFormat="1" customHeight="1" ht="0.75" hidden="1">
      <c r="A211" s="1836"/>
      <c r="B211" s="1836"/>
      <c r="C211" s="425" t="s">
        <v>1293</v>
      </c>
      <c r="D211" s="2518"/>
      <c r="E211" s="2260"/>
      <c r="F211" s="2439"/>
      <c r="G211" s="456"/>
      <c r="H211" s="1556"/>
      <c r="I211" s="707"/>
      <c r="J211" s="627"/>
      <c r="K211" s="1556"/>
      <c r="L211" s="270"/>
      <c r="M211" s="2226"/>
      <c r="N211" s="390"/>
      <c r="O211" s="1680"/>
      <c r="P211" s="1680"/>
      <c r="AH211" s="1687">
        <v>0</v>
      </c>
    </row>
    <row s="2774" customFormat="1" customHeight="1" ht="45" hidden="1">
      <c r="A212" s="1836" t="s">
        <v>233</v>
      </c>
      <c r="B212" s="1836" t="s">
        <v>234</v>
      </c>
      <c r="C212" s="425"/>
      <c r="D212" s="2518"/>
      <c r="E212" s="2260"/>
      <c r="F212" s="2439" t="str">
        <f>INDEX(PT_DIFFERENTIATION_VTAR,MATCH(A212,PT_DIFFERENTIATION_VTAR_ID,0))</f>
        <v/>
      </c>
      <c r="G212" s="2483" t="str">
        <f>INDEX(PT_DIFFERENTIATION_NTAR,MATCH(B212,PT_DIFFERENTIATION_NTAR_ID,0))</f>
        <v/>
      </c>
      <c r="H212" s="1918"/>
      <c r="I212" s="1795"/>
      <c r="J212" s="1829"/>
      <c r="K212" s="1834"/>
      <c r="L212" s="1918" t="s">
        <v>438</v>
      </c>
      <c r="M212" s="2227"/>
      <c r="N212" s="390"/>
      <c r="O212" s="1680"/>
      <c r="P212" s="1680"/>
      <c r="AH212" s="1687">
        <v>0</v>
      </c>
    </row>
    <row s="2774" customFormat="1" customHeight="1" ht="18.75" hidden="1">
      <c r="A213" s="1836"/>
      <c r="B213" s="1836"/>
      <c r="C213" s="425" t="s">
        <v>1286</v>
      </c>
      <c r="D213" s="2518"/>
      <c r="E213" s="2260"/>
      <c r="F213" s="2439"/>
      <c r="G213" s="2483"/>
      <c r="H213" s="1556"/>
      <c r="I213" s="707" t="s">
        <v>1285</v>
      </c>
      <c r="J213" s="627"/>
      <c r="K213" s="1556"/>
      <c r="L213" s="270"/>
      <c r="M213" s="1917"/>
      <c r="N213" s="390"/>
      <c r="O213" s="1680"/>
      <c r="P213" s="1680"/>
      <c r="AH213" s="1687">
        <v>0</v>
      </c>
    </row>
    <row s="2774" customFormat="1" customHeight="1" ht="0.75" hidden="1">
      <c r="A214" s="1836"/>
      <c r="B214" s="1836"/>
      <c r="C214" s="425" t="s">
        <v>1293</v>
      </c>
      <c r="D214" s="2518"/>
      <c r="E214" s="2260"/>
      <c r="F214" s="2439"/>
      <c r="G214" s="456"/>
      <c r="H214" s="1556"/>
      <c r="I214" s="707"/>
      <c r="J214" s="627"/>
      <c r="K214" s="1556"/>
      <c r="L214" s="270"/>
      <c r="M214" s="397"/>
      <c r="N214" s="390"/>
      <c r="O214" s="1680"/>
      <c r="P214" s="1680"/>
      <c r="AH214" s="1687">
        <v>0</v>
      </c>
    </row>
    <row s="2774" customFormat="1" customHeight="1" ht="45" hidden="1">
      <c r="A215" s="1836" t="s">
        <v>240</v>
      </c>
      <c r="B215" s="1836" t="s">
        <v>241</v>
      </c>
      <c r="C215" s="425"/>
      <c r="D215" s="2518"/>
      <c r="E215" s="2260"/>
      <c r="F215" s="2439"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83" t="str">
        <f>INDEX(PT_DIFFERENTIATION_NTAR,MATCH(B215,PT_DIFFERENTIATION_NTAR_ID,0))</f>
        <v/>
      </c>
      <c r="H215" s="1918"/>
      <c r="I215" s="1795"/>
      <c r="J215" s="1829"/>
      <c r="K215" s="1834"/>
      <c r="L215" s="1918" t="s">
        <v>438</v>
      </c>
      <c r="M215" s="397"/>
      <c r="N215" s="390"/>
      <c r="O215" s="1680"/>
      <c r="P215" s="1680"/>
      <c r="AH215" s="1687">
        <v>0</v>
      </c>
    </row>
    <row s="2774" customFormat="1" customHeight="1" ht="18.75" hidden="1">
      <c r="A216" s="1836"/>
      <c r="B216" s="1836"/>
      <c r="C216" s="425" t="s">
        <v>1286</v>
      </c>
      <c r="D216" s="2518"/>
      <c r="E216" s="2260"/>
      <c r="F216" s="2439"/>
      <c r="G216" s="2483"/>
      <c r="H216" s="1556"/>
      <c r="I216" s="707" t="s">
        <v>1285</v>
      </c>
      <c r="J216" s="627"/>
      <c r="K216" s="1556"/>
      <c r="L216" s="270"/>
      <c r="M216" s="397"/>
      <c r="N216" s="390"/>
      <c r="O216" s="1680"/>
      <c r="P216" s="1680"/>
      <c r="AH216" s="1687">
        <v>0</v>
      </c>
    </row>
    <row s="2774" customFormat="1" customHeight="1" ht="0.75" hidden="1">
      <c r="A217" s="1836"/>
      <c r="B217" s="1836"/>
      <c r="C217" s="425" t="s">
        <v>1293</v>
      </c>
      <c r="D217" s="2518"/>
      <c r="E217" s="2260"/>
      <c r="F217" s="2439"/>
      <c r="G217" s="456"/>
      <c r="H217" s="1556"/>
      <c r="I217" s="707"/>
      <c r="J217" s="627"/>
      <c r="K217" s="1556"/>
      <c r="L217" s="270"/>
      <c r="M217" s="397"/>
      <c r="N217" s="390"/>
      <c r="O217" s="1680"/>
      <c r="P217" s="1680"/>
      <c r="AH217" s="1687">
        <v>0</v>
      </c>
    </row>
    <row s="2774" customFormat="1" customHeight="1" ht="45" hidden="1">
      <c r="A218" s="1836" t="s">
        <v>246</v>
      </c>
      <c r="B218" s="1836" t="s">
        <v>247</v>
      </c>
      <c r="C218" s="425"/>
      <c r="D218" s="2518"/>
      <c r="E218" s="2260"/>
      <c r="F218" s="2439"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83" t="str">
        <f>INDEX(PT_DIFFERENTIATION_NTAR,MATCH(B218,PT_DIFFERENTIATION_NTAR_ID,0))</f>
        <v/>
      </c>
      <c r="H218" s="1918"/>
      <c r="I218" s="1795"/>
      <c r="J218" s="1829"/>
      <c r="K218" s="1834"/>
      <c r="L218" s="1918" t="s">
        <v>438</v>
      </c>
      <c r="M218" s="397"/>
      <c r="N218" s="390"/>
      <c r="O218" s="1680"/>
      <c r="P218" s="1680"/>
      <c r="AH218" s="1687">
        <v>0</v>
      </c>
    </row>
    <row s="2774" customFormat="1" customHeight="1" ht="18.75" hidden="1">
      <c r="A219" s="1836"/>
      <c r="B219" s="1836"/>
      <c r="C219" s="425" t="s">
        <v>1286</v>
      </c>
      <c r="D219" s="2518"/>
      <c r="E219" s="2260"/>
      <c r="F219" s="2439"/>
      <c r="G219" s="2483"/>
      <c r="H219" s="1556"/>
      <c r="I219" s="707" t="s">
        <v>1285</v>
      </c>
      <c r="J219" s="627"/>
      <c r="K219" s="1556"/>
      <c r="L219" s="270"/>
      <c r="M219" s="397"/>
      <c r="N219" s="390"/>
      <c r="O219" s="1680"/>
      <c r="P219" s="1680"/>
      <c r="AH219" s="1687">
        <v>0</v>
      </c>
    </row>
    <row s="2774" customFormat="1" customHeight="1" ht="0.75" hidden="1">
      <c r="A220" s="1836"/>
      <c r="B220" s="1836"/>
      <c r="C220" s="425" t="s">
        <v>1293</v>
      </c>
      <c r="D220" s="2518"/>
      <c r="E220" s="2260"/>
      <c r="F220" s="2439"/>
      <c r="G220" s="456"/>
      <c r="H220" s="1556"/>
      <c r="I220" s="707"/>
      <c r="J220" s="627"/>
      <c r="K220" s="1556"/>
      <c r="L220" s="270"/>
      <c r="M220" s="397"/>
      <c r="N220" s="390"/>
      <c r="O220" s="1680"/>
      <c r="P220" s="1680"/>
      <c r="AH220" s="1687">
        <v>0</v>
      </c>
    </row>
    <row s="2774" customFormat="1" customHeight="1" ht="18.75" hidden="1">
      <c r="A221" s="1836" t="s">
        <v>252</v>
      </c>
      <c r="B221" s="1836" t="s">
        <v>253</v>
      </c>
      <c r="C221" s="425"/>
      <c r="D221" s="2518"/>
      <c r="E221" s="2260"/>
      <c r="F221" s="2439" t="str">
        <f>INDEX(PT_DIFFERENTIATION_VTAR,MATCH(A221,PT_DIFFERENTIATION_VTAR_ID,0))</f>
        <v>Тарифы на услуги по передаче тепловой энергии</v>
      </c>
      <c r="G221" s="2483" t="str">
        <f>INDEX(PT_DIFFERENTIATION_NTAR,MATCH(B221,PT_DIFFERENTIATION_NTAR_ID,0))</f>
        <v/>
      </c>
      <c r="H221" s="1918"/>
      <c r="I221" s="1795"/>
      <c r="J221" s="1829"/>
      <c r="K221" s="1834"/>
      <c r="L221" s="1918" t="s">
        <v>438</v>
      </c>
      <c r="M221" s="397"/>
      <c r="N221" s="390"/>
      <c r="O221" s="1680"/>
      <c r="P221" s="1680"/>
      <c r="AH221" s="1687">
        <v>0</v>
      </c>
    </row>
    <row s="2774" customFormat="1" customHeight="1" ht="18.75" hidden="1">
      <c r="A222" s="1836"/>
      <c r="B222" s="1836"/>
      <c r="C222" s="425" t="s">
        <v>1286</v>
      </c>
      <c r="D222" s="2518"/>
      <c r="E222" s="2260"/>
      <c r="F222" s="2439"/>
      <c r="G222" s="2483"/>
      <c r="H222" s="1556"/>
      <c r="I222" s="707" t="s">
        <v>1285</v>
      </c>
      <c r="J222" s="627"/>
      <c r="K222" s="1556"/>
      <c r="L222" s="270"/>
      <c r="M222" s="397"/>
      <c r="N222" s="390"/>
      <c r="O222" s="1680"/>
      <c r="P222" s="1680"/>
      <c r="AH222" s="1687">
        <v>0</v>
      </c>
    </row>
    <row s="2774" customFormat="1" customHeight="1" ht="0.75" hidden="1">
      <c r="A223" s="1836"/>
      <c r="B223" s="1836"/>
      <c r="C223" s="425" t="s">
        <v>1293</v>
      </c>
      <c r="D223" s="2518"/>
      <c r="E223" s="2260"/>
      <c r="F223" s="2439"/>
      <c r="G223" s="456"/>
      <c r="H223" s="1556"/>
      <c r="I223" s="707"/>
      <c r="J223" s="627"/>
      <c r="K223" s="1556"/>
      <c r="L223" s="270"/>
      <c r="M223" s="397"/>
      <c r="N223" s="390"/>
      <c r="O223" s="1680"/>
      <c r="P223" s="1680"/>
      <c r="AH223" s="1687">
        <v>0</v>
      </c>
    </row>
    <row s="2774" customFormat="1" customHeight="1" ht="18.75" hidden="1">
      <c r="A224" s="1836" t="s">
        <v>258</v>
      </c>
      <c r="B224" s="1836" t="s">
        <v>259</v>
      </c>
      <c r="C224" s="425"/>
      <c r="D224" s="2518"/>
      <c r="E224" s="2260"/>
      <c r="F224" s="2439" t="str">
        <f>INDEX(PT_DIFFERENTIATION_VTAR,MATCH(A224,PT_DIFFERENTIATION_VTAR_ID,0))</f>
        <v>Тарифы на услуги по передаче теплоносителя</v>
      </c>
      <c r="G224" s="2483" t="str">
        <f>INDEX(PT_DIFFERENTIATION_NTAR,MATCH(B224,PT_DIFFERENTIATION_NTAR_ID,0))</f>
        <v/>
      </c>
      <c r="H224" s="1918"/>
      <c r="I224" s="1795"/>
      <c r="J224" s="1829"/>
      <c r="K224" s="1834"/>
      <c r="L224" s="1918" t="s">
        <v>438</v>
      </c>
      <c r="M224" s="397"/>
      <c r="N224" s="390"/>
      <c r="O224" s="1680"/>
      <c r="P224" s="1680"/>
      <c r="AH224" s="1687">
        <v>0</v>
      </c>
    </row>
    <row s="2774" customFormat="1" customHeight="1" ht="18.75" hidden="1">
      <c r="A225" s="1836"/>
      <c r="B225" s="1836"/>
      <c r="C225" s="425" t="s">
        <v>1286</v>
      </c>
      <c r="D225" s="2518"/>
      <c r="E225" s="2260"/>
      <c r="F225" s="2439"/>
      <c r="G225" s="2483"/>
      <c r="H225" s="1556"/>
      <c r="I225" s="707" t="s">
        <v>1285</v>
      </c>
      <c r="J225" s="627"/>
      <c r="K225" s="1556"/>
      <c r="L225" s="270"/>
      <c r="M225" s="397"/>
      <c r="N225" s="390"/>
      <c r="O225" s="1680"/>
      <c r="P225" s="1680"/>
      <c r="AH225" s="1687">
        <v>0</v>
      </c>
    </row>
    <row s="2774" customFormat="1" customHeight="1" ht="0.75" hidden="1">
      <c r="A226" s="1836"/>
      <c r="B226" s="1836"/>
      <c r="C226" s="425" t="s">
        <v>1293</v>
      </c>
      <c r="D226" s="2518"/>
      <c r="E226" s="2260"/>
      <c r="F226" s="2439"/>
      <c r="G226" s="456"/>
      <c r="H226" s="1556"/>
      <c r="I226" s="707"/>
      <c r="J226" s="627"/>
      <c r="K226" s="1556"/>
      <c r="L226" s="270"/>
      <c r="M226" s="397"/>
      <c r="N226" s="390"/>
      <c r="O226" s="1680"/>
      <c r="P226" s="1680"/>
      <c r="AH226" s="1687">
        <v>0</v>
      </c>
    </row>
    <row s="2774" customFormat="1" customHeight="1" ht="18.75" hidden="1">
      <c r="A227" s="1836" t="s">
        <v>264</v>
      </c>
      <c r="B227" s="1836" t="s">
        <v>265</v>
      </c>
      <c r="C227" s="425"/>
      <c r="D227" s="2518"/>
      <c r="E227" s="2260"/>
      <c r="F227" s="2439"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83" t="str">
        <f>INDEX(PT_DIFFERENTIATION_NTAR,MATCH(B227,PT_DIFFERENTIATION_NTAR_ID,0))</f>
        <v/>
      </c>
      <c r="H227" s="1918"/>
      <c r="I227" s="1795"/>
      <c r="J227" s="1829"/>
      <c r="K227" s="1834"/>
      <c r="L227" s="1918" t="s">
        <v>438</v>
      </c>
      <c r="M227" s="397"/>
      <c r="N227" s="390"/>
      <c r="O227" s="1680"/>
      <c r="P227" s="1680"/>
      <c r="AH227" s="1687">
        <v>0</v>
      </c>
    </row>
    <row s="2774" customFormat="1" customHeight="1" ht="18.75" hidden="1">
      <c r="A228" s="1836"/>
      <c r="B228" s="1836"/>
      <c r="C228" s="425" t="s">
        <v>1286</v>
      </c>
      <c r="D228" s="2518"/>
      <c r="E228" s="2260"/>
      <c r="F228" s="2439"/>
      <c r="G228" s="2483"/>
      <c r="H228" s="1556"/>
      <c r="I228" s="707" t="s">
        <v>1285</v>
      </c>
      <c r="J228" s="627"/>
      <c r="K228" s="1556"/>
      <c r="L228" s="270"/>
      <c r="M228" s="397"/>
      <c r="N228" s="390"/>
      <c r="O228" s="1680"/>
      <c r="P228" s="1680"/>
      <c r="AH228" s="1687">
        <v>0</v>
      </c>
    </row>
    <row s="2774" customFormat="1" customHeight="1" ht="0.75" hidden="1">
      <c r="A229" s="1836"/>
      <c r="B229" s="1836"/>
      <c r="C229" s="425" t="s">
        <v>1293</v>
      </c>
      <c r="D229" s="2518"/>
      <c r="E229" s="2260"/>
      <c r="F229" s="2439"/>
      <c r="G229" s="456"/>
      <c r="H229" s="1556"/>
      <c r="I229" s="707"/>
      <c r="J229" s="627"/>
      <c r="K229" s="1556"/>
      <c r="L229" s="270"/>
      <c r="M229" s="397"/>
      <c r="N229" s="390"/>
      <c r="O229" s="1680"/>
      <c r="P229" s="1680"/>
      <c r="AH229" s="1687">
        <v>0</v>
      </c>
    </row>
    <row s="2774" customFormat="1" customHeight="1" ht="18.75" hidden="1">
      <c r="A230" s="1836" t="s">
        <v>270</v>
      </c>
      <c r="B230" s="1836" t="s">
        <v>271</v>
      </c>
      <c r="C230" s="425"/>
      <c r="D230" s="2518"/>
      <c r="E230" s="2260"/>
      <c r="F230" s="2439" t="str">
        <f>INDEX(PT_DIFFERENTIATION_VTAR,MATCH(A230,PT_DIFFERENTIATION_VTAR_ID,0))</f>
        <v>Плата за подключение (технологическое присоединение) к системе теплоснабжения</v>
      </c>
      <c r="G230" s="2483" t="str">
        <f>INDEX(PT_DIFFERENTIATION_NTAR,MATCH(B230,PT_DIFFERENTIATION_NTAR_ID,0))</f>
        <v/>
      </c>
      <c r="H230" s="1918"/>
      <c r="I230" s="1795"/>
      <c r="J230" s="1829"/>
      <c r="K230" s="1834"/>
      <c r="L230" s="1918" t="s">
        <v>438</v>
      </c>
      <c r="M230" s="397"/>
      <c r="N230" s="390"/>
      <c r="O230" s="1680"/>
      <c r="P230" s="1680"/>
      <c r="AH230" s="1687">
        <v>0</v>
      </c>
    </row>
    <row s="2774" customFormat="1" customHeight="1" ht="18.75" hidden="1">
      <c r="A231" s="1836"/>
      <c r="B231" s="1836"/>
      <c r="C231" s="425" t="s">
        <v>1286</v>
      </c>
      <c r="D231" s="2518"/>
      <c r="E231" s="2260"/>
      <c r="F231" s="2439"/>
      <c r="G231" s="2483"/>
      <c r="H231" s="1556"/>
      <c r="I231" s="707" t="s">
        <v>1285</v>
      </c>
      <c r="J231" s="627"/>
      <c r="K231" s="1556"/>
      <c r="L231" s="270"/>
      <c r="M231" s="397"/>
      <c r="N231" s="390"/>
      <c r="O231" s="1680"/>
      <c r="P231" s="1680"/>
      <c r="AH231" s="1687">
        <v>0</v>
      </c>
    </row>
    <row s="2774" customFormat="1" customHeight="1" ht="0.75" hidden="1">
      <c r="A232" s="1836"/>
      <c r="B232" s="1836"/>
      <c r="C232" s="425" t="s">
        <v>1293</v>
      </c>
      <c r="D232" s="2518"/>
      <c r="E232" s="2260"/>
      <c r="F232" s="2439"/>
      <c r="G232" s="456"/>
      <c r="H232" s="1556"/>
      <c r="I232" s="707"/>
      <c r="J232" s="627"/>
      <c r="K232" s="1556"/>
      <c r="L232" s="270"/>
      <c r="M232" s="397"/>
      <c r="N232" s="390"/>
      <c r="O232" s="1680"/>
      <c r="P232" s="1680"/>
      <c r="AH232" s="1687">
        <v>0</v>
      </c>
    </row>
    <row s="2774" customFormat="1" customHeight="1" ht="18.75" hidden="1">
      <c r="A233" s="1836" t="s">
        <v>276</v>
      </c>
      <c r="B233" s="1836" t="s">
        <v>277</v>
      </c>
      <c r="C233" s="425"/>
      <c r="D233" s="2518"/>
      <c r="E233" s="2260"/>
      <c r="F233" s="2439" t="str">
        <f>INDEX(PT_DIFFERENTIATION_VTAR,MATCH(A233,PT_DIFFERENTIATION_VTAR_ID,0))</f>
        <v>Плата за подключение (технологическое присоединение) к системе теплоснабжения (индивидуальная)</v>
      </c>
      <c r="G233" s="2483" t="str">
        <f>INDEX(PT_DIFFERENTIATION_NTAR,MATCH(B233,PT_DIFFERENTIATION_NTAR_ID,0))</f>
        <v/>
      </c>
      <c r="H233" s="2045"/>
      <c r="I233" s="1795"/>
      <c r="J233" s="1829"/>
      <c r="K233" s="1834"/>
      <c r="L233" s="2045" t="s">
        <v>438</v>
      </c>
      <c r="M233" s="397"/>
      <c r="N233" s="390"/>
      <c r="O233" s="1680"/>
      <c r="P233" s="1680"/>
      <c r="AH233" s="1687">
        <v>0</v>
      </c>
    </row>
    <row s="2774" customFormat="1" customHeight="1" ht="18.75" hidden="1">
      <c r="A234" s="1836"/>
      <c r="B234" s="1836"/>
      <c r="C234" s="425" t="s">
        <v>1286</v>
      </c>
      <c r="D234" s="2518"/>
      <c r="E234" s="2260"/>
      <c r="F234" s="2439"/>
      <c r="G234" s="2483"/>
      <c r="H234" s="1556"/>
      <c r="I234" s="707" t="s">
        <v>1285</v>
      </c>
      <c r="J234" s="627"/>
      <c r="K234" s="1556"/>
      <c r="L234" s="270"/>
      <c r="M234" s="397"/>
      <c r="N234" s="390"/>
      <c r="O234" s="1680"/>
      <c r="P234" s="1680"/>
      <c r="AH234" s="1687">
        <v>0</v>
      </c>
    </row>
    <row s="2774" customFormat="1" customHeight="1" ht="0.75" hidden="1">
      <c r="A235" s="1836"/>
      <c r="B235" s="1836"/>
      <c r="C235" s="425" t="s">
        <v>1293</v>
      </c>
      <c r="D235" s="2518"/>
      <c r="E235" s="2260"/>
      <c r="F235" s="2439"/>
      <c r="G235" s="456"/>
      <c r="H235" s="1556"/>
      <c r="I235" s="707"/>
      <c r="J235" s="627"/>
      <c r="K235" s="1556"/>
      <c r="L235" s="270"/>
      <c r="M235" s="397"/>
      <c r="N235" s="390"/>
      <c r="O235" s="1680"/>
      <c r="P235" s="1680"/>
      <c r="AH235" s="1687">
        <v>0</v>
      </c>
    </row>
    <row s="2774" customFormat="1" customHeight="1" ht="18.75" hidden="1">
      <c r="A236" s="1836" t="s">
        <v>298</v>
      </c>
      <c r="B236" s="1836" t="s">
        <v>299</v>
      </c>
      <c r="C236" s="425"/>
      <c r="D236" s="2518"/>
      <c r="E236" s="2260"/>
      <c r="F236" s="2439" t="str">
        <f>INDEX(PT_DIFFERENTIATION_VTAR,MATCH(A236,PT_DIFFERENTIATION_VTAR_ID,0))</f>
        <v>Тариф на питьевую воду (питьевое водоснабжение)</v>
      </c>
      <c r="G236" s="2483" t="str">
        <f>INDEX(PT_DIFFERENTIATION_NTAR,MATCH(B236,PT_DIFFERENTIATION_NTAR_ID,0))</f>
        <v>Питьевая вода</v>
      </c>
      <c r="H236" s="1918"/>
      <c r="I236" s="1795"/>
      <c r="J236" s="1829"/>
      <c r="K236" s="1834"/>
      <c r="L236" s="1918" t="s">
        <v>438</v>
      </c>
      <c r="M236" s="397"/>
      <c r="N236" s="390"/>
      <c r="O236" s="1680"/>
      <c r="P236" s="1680"/>
      <c r="AH236" s="1687">
        <v>0</v>
      </c>
    </row>
    <row s="2774" customFormat="1" customHeight="1" ht="18.75" hidden="1">
      <c r="A237" s="1836"/>
      <c r="B237" s="1836"/>
      <c r="C237" s="425" t="s">
        <v>1286</v>
      </c>
      <c r="D237" s="2518"/>
      <c r="E237" s="2260"/>
      <c r="F237" s="2439"/>
      <c r="G237" s="2483"/>
      <c r="H237" s="1556"/>
      <c r="I237" s="707" t="s">
        <v>1285</v>
      </c>
      <c r="J237" s="627"/>
      <c r="K237" s="1556"/>
      <c r="L237" s="270"/>
      <c r="M237" s="397"/>
      <c r="N237" s="390"/>
      <c r="O237" s="1680"/>
      <c r="P237" s="1680"/>
      <c r="AH237" s="1687">
        <v>0</v>
      </c>
    </row>
    <row s="2774" customFormat="1" customHeight="1" ht="0.75" hidden="1">
      <c r="A238" s="1836"/>
      <c r="B238" s="1836"/>
      <c r="C238" s="425" t="s">
        <v>1293</v>
      </c>
      <c r="D238" s="2518"/>
      <c r="E238" s="2260"/>
      <c r="F238" s="2439"/>
      <c r="G238" s="456"/>
      <c r="H238" s="1556"/>
      <c r="I238" s="707"/>
      <c r="J238" s="627"/>
      <c r="K238" s="1556"/>
      <c r="L238" s="270"/>
      <c r="M238" s="397"/>
      <c r="N238" s="390"/>
      <c r="O238" s="1680"/>
      <c r="P238" s="1680"/>
      <c r="AH238" s="1687">
        <v>0</v>
      </c>
    </row>
    <row s="2774" customFormat="1" customHeight="1" ht="18.75" hidden="1">
      <c r="A239" s="1836" t="s">
        <v>362</v>
      </c>
      <c r="B239" s="1836" t="s">
        <v>363</v>
      </c>
      <c r="C239" s="425"/>
      <c r="D239" s="2518"/>
      <c r="E239" s="2260"/>
      <c r="F239" s="2439" t="str">
        <f>INDEX(PT_DIFFERENTIATION_VTAR,MATCH(A239,PT_DIFFERENTIATION_VTAR_ID,0))</f>
        <v>Тариф на техническую воду</v>
      </c>
      <c r="G239" s="2483" t="str">
        <f>INDEX(PT_DIFFERENTIATION_NTAR,MATCH(B239,PT_DIFFERENTIATION_NTAR_ID,0))</f>
        <v/>
      </c>
      <c r="H239" s="1918"/>
      <c r="I239" s="1795"/>
      <c r="J239" s="1829"/>
      <c r="K239" s="1834"/>
      <c r="L239" s="1918" t="s">
        <v>438</v>
      </c>
      <c r="M239" s="397"/>
      <c r="N239" s="390"/>
      <c r="O239" s="1680"/>
      <c r="P239" s="1680"/>
      <c r="AH239" s="1687">
        <v>0</v>
      </c>
    </row>
    <row s="2774" customFormat="1" customHeight="1" ht="18.75" hidden="1">
      <c r="A240" s="1836"/>
      <c r="B240" s="1836"/>
      <c r="C240" s="425" t="s">
        <v>1286</v>
      </c>
      <c r="D240" s="2518"/>
      <c r="E240" s="2260"/>
      <c r="F240" s="2439"/>
      <c r="G240" s="2483"/>
      <c r="H240" s="1556"/>
      <c r="I240" s="707" t="s">
        <v>1285</v>
      </c>
      <c r="J240" s="627"/>
      <c r="K240" s="1556"/>
      <c r="L240" s="270"/>
      <c r="M240" s="397"/>
      <c r="N240" s="390"/>
      <c r="O240" s="1680"/>
      <c r="P240" s="1680"/>
      <c r="AH240" s="1687">
        <v>0</v>
      </c>
    </row>
    <row s="2774" customFormat="1" customHeight="1" ht="0.75" hidden="1">
      <c r="A241" s="1836"/>
      <c r="B241" s="1836"/>
      <c r="C241" s="425" t="s">
        <v>1293</v>
      </c>
      <c r="D241" s="2518"/>
      <c r="E241" s="2260"/>
      <c r="F241" s="2439"/>
      <c r="G241" s="456"/>
      <c r="H241" s="1556"/>
      <c r="I241" s="707"/>
      <c r="J241" s="627"/>
      <c r="K241" s="1556"/>
      <c r="L241" s="270"/>
      <c r="M241" s="397"/>
      <c r="N241" s="390"/>
      <c r="O241" s="1680"/>
      <c r="P241" s="1680"/>
      <c r="AH241" s="1687">
        <v>0</v>
      </c>
    </row>
    <row s="2774" customFormat="1" customHeight="1" ht="18.75" hidden="1">
      <c r="A242" s="1836" t="s">
        <v>367</v>
      </c>
      <c r="B242" s="1836" t="s">
        <v>368</v>
      </c>
      <c r="C242" s="425"/>
      <c r="D242" s="2518"/>
      <c r="E242" s="2260"/>
      <c r="F242" s="2439" t="str">
        <f>INDEX(PT_DIFFERENTIATION_VTAR,MATCH(A242,PT_DIFFERENTIATION_VTAR_ID,0))</f>
        <v>Тариф на транспортировку воды</v>
      </c>
      <c r="G242" s="2483" t="str">
        <f>INDEX(PT_DIFFERENTIATION_NTAR,MATCH(B242,PT_DIFFERENTIATION_NTAR_ID,0))</f>
        <v/>
      </c>
      <c r="H242" s="1918"/>
      <c r="I242" s="1795"/>
      <c r="J242" s="1829"/>
      <c r="K242" s="1834"/>
      <c r="L242" s="1918" t="s">
        <v>438</v>
      </c>
      <c r="M242" s="397"/>
      <c r="N242" s="390"/>
      <c r="O242" s="1680"/>
      <c r="P242" s="1680"/>
      <c r="AH242" s="1687">
        <v>0</v>
      </c>
    </row>
    <row s="2774" customFormat="1" customHeight="1" ht="18.75" hidden="1">
      <c r="A243" s="1836"/>
      <c r="B243" s="1836"/>
      <c r="C243" s="425" t="s">
        <v>1286</v>
      </c>
      <c r="D243" s="2518"/>
      <c r="E243" s="2260"/>
      <c r="F243" s="2439"/>
      <c r="G243" s="2483"/>
      <c r="H243" s="1556"/>
      <c r="I243" s="707" t="s">
        <v>1285</v>
      </c>
      <c r="J243" s="627"/>
      <c r="K243" s="1556"/>
      <c r="L243" s="270"/>
      <c r="M243" s="397"/>
      <c r="N243" s="390"/>
      <c r="O243" s="1680"/>
      <c r="P243" s="1680"/>
      <c r="AH243" s="1687">
        <v>0</v>
      </c>
    </row>
    <row s="2774" customFormat="1" customHeight="1" ht="0.75" hidden="1">
      <c r="A244" s="1836"/>
      <c r="B244" s="1836"/>
      <c r="C244" s="425" t="s">
        <v>1293</v>
      </c>
      <c r="D244" s="2518"/>
      <c r="E244" s="2260"/>
      <c r="F244" s="2439"/>
      <c r="G244" s="456"/>
      <c r="H244" s="1556"/>
      <c r="I244" s="707"/>
      <c r="J244" s="627"/>
      <c r="K244" s="1556"/>
      <c r="L244" s="270"/>
      <c r="M244" s="397"/>
      <c r="N244" s="390"/>
      <c r="O244" s="1680"/>
      <c r="P244" s="1680"/>
      <c r="AH244" s="1687">
        <v>0</v>
      </c>
    </row>
    <row s="2774" customFormat="1" customHeight="1" ht="18.75" hidden="1">
      <c r="A245" s="1836" t="s">
        <v>372</v>
      </c>
      <c r="B245" s="1836" t="s">
        <v>373</v>
      </c>
      <c r="C245" s="425"/>
      <c r="D245" s="2518"/>
      <c r="E245" s="2260"/>
      <c r="F245" s="2439" t="str">
        <f>INDEX(PT_DIFFERENTIATION_VTAR,MATCH(A245,PT_DIFFERENTIATION_VTAR_ID,0))</f>
        <v>Тариф на подвоз воды</v>
      </c>
      <c r="G245" s="2483" t="str">
        <f>INDEX(PT_DIFFERENTIATION_NTAR,MATCH(B245,PT_DIFFERENTIATION_NTAR_ID,0))</f>
        <v/>
      </c>
      <c r="H245" s="1918"/>
      <c r="I245" s="1795"/>
      <c r="J245" s="1829"/>
      <c r="K245" s="1834"/>
      <c r="L245" s="1918" t="s">
        <v>438</v>
      </c>
      <c r="M245" s="397"/>
      <c r="N245" s="390"/>
      <c r="O245" s="1680"/>
      <c r="P245" s="1680"/>
      <c r="AH245" s="1687">
        <v>0</v>
      </c>
    </row>
    <row s="2774" customFormat="1" customHeight="1" ht="18.75" hidden="1">
      <c r="A246" s="1836"/>
      <c r="B246" s="1836"/>
      <c r="C246" s="425" t="s">
        <v>1286</v>
      </c>
      <c r="D246" s="2518"/>
      <c r="E246" s="2260"/>
      <c r="F246" s="2439"/>
      <c r="G246" s="2483"/>
      <c r="H246" s="1556"/>
      <c r="I246" s="707" t="s">
        <v>1285</v>
      </c>
      <c r="J246" s="627"/>
      <c r="K246" s="1556"/>
      <c r="L246" s="270"/>
      <c r="M246" s="397"/>
      <c r="N246" s="390"/>
      <c r="O246" s="1680"/>
      <c r="P246" s="1680"/>
      <c r="AH246" s="1687">
        <v>0</v>
      </c>
    </row>
    <row s="2774" customFormat="1" customHeight="1" ht="0.75" hidden="1">
      <c r="A247" s="1836"/>
      <c r="B247" s="1836"/>
      <c r="C247" s="425" t="s">
        <v>1293</v>
      </c>
      <c r="D247" s="2518"/>
      <c r="E247" s="2260"/>
      <c r="F247" s="2439"/>
      <c r="G247" s="456"/>
      <c r="H247" s="1556"/>
      <c r="I247" s="707"/>
      <c r="J247" s="627"/>
      <c r="K247" s="1556"/>
      <c r="L247" s="270"/>
      <c r="M247" s="397"/>
      <c r="N247" s="390"/>
      <c r="O247" s="1680"/>
      <c r="P247" s="1680"/>
      <c r="AH247" s="1687">
        <v>0</v>
      </c>
    </row>
    <row s="2774" customFormat="1" customHeight="1" ht="18.75" hidden="1">
      <c r="A248" s="1836" t="s">
        <v>377</v>
      </c>
      <c r="B248" s="1836" t="s">
        <v>378</v>
      </c>
      <c r="C248" s="425"/>
      <c r="D248" s="2518"/>
      <c r="E248" s="2260"/>
      <c r="F248" s="2439"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83" t="str">
        <f>INDEX(PT_DIFFERENTIATION_NTAR,MATCH(B248,PT_DIFFERENTIATION_NTAR_ID,0))</f>
        <v/>
      </c>
      <c r="H248" s="1918"/>
      <c r="I248" s="1795"/>
      <c r="J248" s="1829"/>
      <c r="K248" s="1834"/>
      <c r="L248" s="1918" t="s">
        <v>438</v>
      </c>
      <c r="M248" s="397"/>
      <c r="N248" s="390"/>
      <c r="O248" s="1680"/>
      <c r="P248" s="1680"/>
      <c r="AH248" s="1687">
        <v>0</v>
      </c>
    </row>
    <row s="2774" customFormat="1" customHeight="1" ht="18.75" hidden="1">
      <c r="A249" s="1836"/>
      <c r="B249" s="1836"/>
      <c r="C249" s="425" t="s">
        <v>1286</v>
      </c>
      <c r="D249" s="2518"/>
      <c r="E249" s="2260"/>
      <c r="F249" s="2439"/>
      <c r="G249" s="2483"/>
      <c r="H249" s="1556"/>
      <c r="I249" s="707" t="s">
        <v>1285</v>
      </c>
      <c r="J249" s="627"/>
      <c r="K249" s="1556"/>
      <c r="L249" s="270"/>
      <c r="M249" s="397"/>
      <c r="N249" s="390"/>
      <c r="O249" s="1680"/>
      <c r="P249" s="1680"/>
      <c r="AH249" s="1687">
        <v>0</v>
      </c>
    </row>
    <row s="2774" customFormat="1" customHeight="1" ht="0.75" hidden="1">
      <c r="A250" s="1836"/>
      <c r="B250" s="1836"/>
      <c r="C250" s="425" t="s">
        <v>1293</v>
      </c>
      <c r="D250" s="2518"/>
      <c r="E250" s="2260"/>
      <c r="F250" s="2439"/>
      <c r="G250" s="456"/>
      <c r="H250" s="1556"/>
      <c r="I250" s="707"/>
      <c r="J250" s="627"/>
      <c r="K250" s="1556"/>
      <c r="L250" s="270"/>
      <c r="M250" s="397"/>
      <c r="N250" s="390"/>
      <c r="O250" s="1680"/>
      <c r="P250" s="1680"/>
      <c r="AH250" s="1687">
        <v>0</v>
      </c>
    </row>
    <row s="2774" customFormat="1" customHeight="1" ht="18.75" hidden="1">
      <c r="A251" s="1836" t="s">
        <v>382</v>
      </c>
      <c r="B251" s="1836" t="s">
        <v>383</v>
      </c>
      <c r="C251" s="425"/>
      <c r="D251" s="2518"/>
      <c r="E251" s="2260"/>
      <c r="F251" s="2439" t="str">
        <f>INDEX(PT_DIFFERENTIATION_VTAR,MATCH(A251,PT_DIFFERENTIATION_VTAR_ID,0))</f>
        <v>Тариф на горячую воду (горячее водоснабжение)</v>
      </c>
      <c r="G251" s="2483" t="str">
        <f>INDEX(PT_DIFFERENTIATION_NTAR,MATCH(B251,PT_DIFFERENTIATION_NTAR_ID,0))</f>
        <v/>
      </c>
      <c r="H251" s="1918"/>
      <c r="I251" s="1795"/>
      <c r="J251" s="1829"/>
      <c r="K251" s="1834"/>
      <c r="L251" s="1918" t="s">
        <v>438</v>
      </c>
      <c r="M251" s="397"/>
      <c r="N251" s="390"/>
      <c r="O251" s="1680"/>
      <c r="P251" s="1680"/>
      <c r="AH251" s="1687">
        <v>0</v>
      </c>
    </row>
    <row s="2774" customFormat="1" customHeight="1" ht="18.75" hidden="1">
      <c r="A252" s="1836"/>
      <c r="B252" s="1836"/>
      <c r="C252" s="425" t="s">
        <v>1286</v>
      </c>
      <c r="D252" s="2518"/>
      <c r="E252" s="2260"/>
      <c r="F252" s="2439"/>
      <c r="G252" s="2483"/>
      <c r="H252" s="1556"/>
      <c r="I252" s="707" t="s">
        <v>1285</v>
      </c>
      <c r="J252" s="627"/>
      <c r="K252" s="1556"/>
      <c r="L252" s="270"/>
      <c r="M252" s="397"/>
      <c r="N252" s="390"/>
      <c r="O252" s="1680"/>
      <c r="P252" s="1680"/>
      <c r="AH252" s="1687">
        <v>0</v>
      </c>
    </row>
    <row s="2774" customFormat="1" customHeight="1" ht="0.75" hidden="1">
      <c r="A253" s="1836"/>
      <c r="B253" s="1836"/>
      <c r="C253" s="425" t="s">
        <v>1293</v>
      </c>
      <c r="D253" s="2518"/>
      <c r="E253" s="2260"/>
      <c r="F253" s="2439"/>
      <c r="G253" s="456"/>
      <c r="H253" s="1556"/>
      <c r="I253" s="707"/>
      <c r="J253" s="627"/>
      <c r="K253" s="1556"/>
      <c r="L253" s="270"/>
      <c r="M253" s="397"/>
      <c r="N253" s="390"/>
      <c r="O253" s="1680"/>
      <c r="P253" s="1680"/>
      <c r="AH253" s="1687">
        <v>0</v>
      </c>
    </row>
    <row s="2774" customFormat="1" customHeight="1" ht="18.75" hidden="1">
      <c r="A254" s="1836" t="s">
        <v>387</v>
      </c>
      <c r="B254" s="1836" t="s">
        <v>388</v>
      </c>
      <c r="C254" s="425"/>
      <c r="D254" s="2518"/>
      <c r="E254" s="2260"/>
      <c r="F254" s="2439" t="str">
        <f>INDEX(PT_DIFFERENTIATION_VTAR,MATCH(A254,PT_DIFFERENTIATION_VTAR_ID,0))</f>
        <v>Тариф на транспортировку горячей воды</v>
      </c>
      <c r="G254" s="2483" t="str">
        <f>INDEX(PT_DIFFERENTIATION_NTAR,MATCH(B254,PT_DIFFERENTIATION_NTAR_ID,0))</f>
        <v/>
      </c>
      <c r="H254" s="1918"/>
      <c r="I254" s="1795"/>
      <c r="J254" s="1829"/>
      <c r="K254" s="1834"/>
      <c r="L254" s="1918" t="s">
        <v>438</v>
      </c>
      <c r="M254" s="397"/>
      <c r="N254" s="390"/>
      <c r="O254" s="1680"/>
      <c r="P254" s="1680"/>
      <c r="AH254" s="1687">
        <v>0</v>
      </c>
    </row>
    <row s="2774" customFormat="1" customHeight="1" ht="18.75" hidden="1">
      <c r="A255" s="1836"/>
      <c r="B255" s="1836"/>
      <c r="C255" s="425" t="s">
        <v>1286</v>
      </c>
      <c r="D255" s="2518"/>
      <c r="E255" s="2260"/>
      <c r="F255" s="2439"/>
      <c r="G255" s="2483"/>
      <c r="H255" s="1556"/>
      <c r="I255" s="707" t="s">
        <v>1285</v>
      </c>
      <c r="J255" s="627"/>
      <c r="K255" s="1556"/>
      <c r="L255" s="270"/>
      <c r="M255" s="397"/>
      <c r="N255" s="390"/>
      <c r="O255" s="1680"/>
      <c r="P255" s="1680"/>
      <c r="AH255" s="1687">
        <v>0</v>
      </c>
    </row>
    <row s="2774" customFormat="1" customHeight="1" ht="0.75" hidden="1">
      <c r="A256" s="1836"/>
      <c r="B256" s="1836"/>
      <c r="C256" s="425" t="s">
        <v>1293</v>
      </c>
      <c r="D256" s="2518"/>
      <c r="E256" s="2260"/>
      <c r="F256" s="2439"/>
      <c r="G256" s="456"/>
      <c r="H256" s="1556"/>
      <c r="I256" s="707"/>
      <c r="J256" s="627"/>
      <c r="K256" s="1556"/>
      <c r="L256" s="270"/>
      <c r="M256" s="397"/>
      <c r="N256" s="390"/>
      <c r="O256" s="1680"/>
      <c r="P256" s="1680"/>
      <c r="AH256" s="1687">
        <v>0</v>
      </c>
    </row>
    <row s="2774" customFormat="1" customHeight="1" ht="18.75" hidden="1">
      <c r="A257" s="1836" t="s">
        <v>392</v>
      </c>
      <c r="B257" s="1836" t="s">
        <v>393</v>
      </c>
      <c r="C257" s="425"/>
      <c r="D257" s="2518"/>
      <c r="E257" s="2260"/>
      <c r="F257" s="2439"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83" t="str">
        <f>INDEX(PT_DIFFERENTIATION_NTAR,MATCH(B257,PT_DIFFERENTIATION_NTAR_ID,0))</f>
        <v/>
      </c>
      <c r="H257" s="1918"/>
      <c r="I257" s="1795"/>
      <c r="J257" s="1829"/>
      <c r="K257" s="1834"/>
      <c r="L257" s="1918" t="s">
        <v>438</v>
      </c>
      <c r="M257" s="397"/>
      <c r="N257" s="390"/>
      <c r="O257" s="1680"/>
      <c r="P257" s="1680"/>
      <c r="AH257" s="1687">
        <v>0</v>
      </c>
    </row>
    <row s="2774" customFormat="1" customHeight="1" ht="18.75" hidden="1">
      <c r="A258" s="1836"/>
      <c r="B258" s="1836"/>
      <c r="C258" s="425" t="s">
        <v>1286</v>
      </c>
      <c r="D258" s="2518"/>
      <c r="E258" s="2260"/>
      <c r="F258" s="2439"/>
      <c r="G258" s="2483"/>
      <c r="H258" s="1556"/>
      <c r="I258" s="707" t="s">
        <v>1285</v>
      </c>
      <c r="J258" s="627"/>
      <c r="K258" s="1556"/>
      <c r="L258" s="270"/>
      <c r="M258" s="397"/>
      <c r="N258" s="390"/>
      <c r="O258" s="1680"/>
      <c r="P258" s="1680"/>
      <c r="AH258" s="1687">
        <v>0</v>
      </c>
    </row>
    <row s="2774" customFormat="1" customHeight="1" ht="0.75" hidden="1">
      <c r="A259" s="1836"/>
      <c r="B259" s="1836"/>
      <c r="C259" s="425" t="s">
        <v>1293</v>
      </c>
      <c r="D259" s="2518"/>
      <c r="E259" s="2260"/>
      <c r="F259" s="2439"/>
      <c r="G259" s="456"/>
      <c r="H259" s="1556"/>
      <c r="I259" s="707"/>
      <c r="J259" s="627"/>
      <c r="K259" s="1556"/>
      <c r="L259" s="270"/>
      <c r="M259" s="397"/>
      <c r="N259" s="390"/>
      <c r="O259" s="1680"/>
      <c r="P259" s="1680"/>
      <c r="AH259" s="1687">
        <v>0</v>
      </c>
    </row>
    <row s="2774" customFormat="1" customHeight="1" ht="18.75" hidden="1">
      <c r="A260" s="1836" t="s">
        <v>397</v>
      </c>
      <c r="B260" s="1836" t="s">
        <v>398</v>
      </c>
      <c r="C260" s="425"/>
      <c r="D260" s="2518"/>
      <c r="E260" s="2260"/>
      <c r="F260" s="2439" t="str">
        <f>INDEX(PT_DIFFERENTIATION_VTAR,MATCH(A260,PT_DIFFERENTIATION_VTAR_ID,0))</f>
        <v>Тариф на водоотведение</v>
      </c>
      <c r="G260" s="2483" t="str">
        <f>INDEX(PT_DIFFERENTIATION_NTAR,MATCH(B260,PT_DIFFERENTIATION_NTAR_ID,0))</f>
        <v/>
      </c>
      <c r="H260" s="1918"/>
      <c r="I260" s="1795"/>
      <c r="J260" s="1829"/>
      <c r="K260" s="1834"/>
      <c r="L260" s="1918" t="s">
        <v>438</v>
      </c>
      <c r="M260" s="397"/>
      <c r="N260" s="390"/>
      <c r="O260" s="1680"/>
      <c r="P260" s="1680"/>
      <c r="AH260" s="1687">
        <v>0</v>
      </c>
    </row>
    <row s="2774" customFormat="1" customHeight="1" ht="18.75" hidden="1">
      <c r="A261" s="1836"/>
      <c r="B261" s="1836"/>
      <c r="C261" s="425" t="s">
        <v>1286</v>
      </c>
      <c r="D261" s="2518"/>
      <c r="E261" s="2260"/>
      <c r="F261" s="2439"/>
      <c r="G261" s="2483"/>
      <c r="H261" s="1556"/>
      <c r="I261" s="707" t="s">
        <v>1285</v>
      </c>
      <c r="J261" s="627"/>
      <c r="K261" s="1556"/>
      <c r="L261" s="270"/>
      <c r="M261" s="397"/>
      <c r="N261" s="390"/>
      <c r="O261" s="1680"/>
      <c r="P261" s="1680"/>
      <c r="AH261" s="1687">
        <v>0</v>
      </c>
    </row>
    <row s="2774" customFormat="1" customHeight="1" ht="0.75" hidden="1">
      <c r="A262" s="1836"/>
      <c r="B262" s="1836"/>
      <c r="C262" s="425" t="s">
        <v>1293</v>
      </c>
      <c r="D262" s="2518"/>
      <c r="E262" s="2260"/>
      <c r="F262" s="2439"/>
      <c r="G262" s="456"/>
      <c r="H262" s="1556"/>
      <c r="I262" s="707"/>
      <c r="J262" s="627"/>
      <c r="K262" s="1556"/>
      <c r="L262" s="270"/>
      <c r="M262" s="397"/>
      <c r="N262" s="390"/>
      <c r="O262" s="1680"/>
      <c r="P262" s="1680"/>
      <c r="AH262" s="1687">
        <v>0</v>
      </c>
    </row>
    <row s="2774" customFormat="1" customHeight="1" ht="18.75" hidden="1">
      <c r="A263" s="1836" t="s">
        <v>402</v>
      </c>
      <c r="B263" s="1836" t="s">
        <v>403</v>
      </c>
      <c r="C263" s="425"/>
      <c r="D263" s="2518"/>
      <c r="E263" s="2260"/>
      <c r="F263" s="2439" t="str">
        <f>INDEX(PT_DIFFERENTIATION_VTAR,MATCH(A263,PT_DIFFERENTIATION_VTAR_ID,0))</f>
        <v>Тариф на транспортировку сточных вод</v>
      </c>
      <c r="G263" s="2483" t="str">
        <f>INDEX(PT_DIFFERENTIATION_NTAR,MATCH(B263,PT_DIFFERENTIATION_NTAR_ID,0))</f>
        <v/>
      </c>
      <c r="H263" s="1918"/>
      <c r="I263" s="1795"/>
      <c r="J263" s="1829"/>
      <c r="K263" s="1834"/>
      <c r="L263" s="1918" t="s">
        <v>438</v>
      </c>
      <c r="M263" s="397"/>
      <c r="N263" s="390"/>
      <c r="O263" s="1680"/>
      <c r="P263" s="1680"/>
      <c r="AH263" s="1687">
        <v>0</v>
      </c>
    </row>
    <row s="2774" customFormat="1" customHeight="1" ht="18.75" hidden="1">
      <c r="A264" s="1836"/>
      <c r="B264" s="1836"/>
      <c r="C264" s="425" t="s">
        <v>1286</v>
      </c>
      <c r="D264" s="2518"/>
      <c r="E264" s="2260"/>
      <c r="F264" s="2439"/>
      <c r="G264" s="2483"/>
      <c r="H264" s="1556"/>
      <c r="I264" s="707" t="s">
        <v>1285</v>
      </c>
      <c r="J264" s="627"/>
      <c r="K264" s="1556"/>
      <c r="L264" s="270"/>
      <c r="M264" s="397"/>
      <c r="N264" s="390"/>
      <c r="O264" s="1680"/>
      <c r="P264" s="1680"/>
      <c r="AH264" s="1687">
        <v>0</v>
      </c>
    </row>
    <row s="2774" customFormat="1" customHeight="1" ht="0.75" hidden="1">
      <c r="A265" s="1836"/>
      <c r="B265" s="1836"/>
      <c r="C265" s="425" t="s">
        <v>1293</v>
      </c>
      <c r="D265" s="2518"/>
      <c r="E265" s="2260"/>
      <c r="F265" s="2439"/>
      <c r="G265" s="456"/>
      <c r="H265" s="1556"/>
      <c r="I265" s="707"/>
      <c r="J265" s="627"/>
      <c r="K265" s="1556"/>
      <c r="L265" s="270"/>
      <c r="M265" s="397"/>
      <c r="N265" s="390"/>
      <c r="O265" s="1680"/>
      <c r="P265" s="1680"/>
      <c r="AH265" s="1687">
        <v>0</v>
      </c>
    </row>
    <row s="2774" customFormat="1" customHeight="1" ht="18.75" hidden="1">
      <c r="A266" s="1836" t="s">
        <v>407</v>
      </c>
      <c r="B266" s="1836" t="s">
        <v>408</v>
      </c>
      <c r="C266" s="425"/>
      <c r="D266" s="2518"/>
      <c r="E266" s="2260"/>
      <c r="F266" s="2439" t="str">
        <f>INDEX(PT_DIFFERENTIATION_VTAR,MATCH(A266,PT_DIFFERENTIATION_VTAR_ID,0))</f>
        <v>Тариф на подключение (технологическое присоединение) к централизованной системе водоотведения</v>
      </c>
      <c r="G266" s="2483" t="str">
        <f>INDEX(PT_DIFFERENTIATION_NTAR,MATCH(B266,PT_DIFFERENTIATION_NTAR_ID,0))</f>
        <v/>
      </c>
      <c r="H266" s="1918"/>
      <c r="I266" s="1795"/>
      <c r="J266" s="1829"/>
      <c r="K266" s="1834"/>
      <c r="L266" s="1918" t="s">
        <v>438</v>
      </c>
      <c r="M266" s="397"/>
      <c r="N266" s="390"/>
      <c r="O266" s="1680"/>
      <c r="P266" s="1680"/>
      <c r="AH266" s="1687">
        <v>0</v>
      </c>
    </row>
    <row s="2774" customFormat="1" customHeight="1" ht="18.75" hidden="1">
      <c r="A267" s="1836"/>
      <c r="B267" s="1836"/>
      <c r="C267" s="425" t="s">
        <v>1286</v>
      </c>
      <c r="D267" s="2518"/>
      <c r="E267" s="2260"/>
      <c r="F267" s="2439"/>
      <c r="G267" s="2483"/>
      <c r="H267" s="1556"/>
      <c r="I267" s="707" t="s">
        <v>1285</v>
      </c>
      <c r="J267" s="627"/>
      <c r="K267" s="1556"/>
      <c r="L267" s="270"/>
      <c r="M267" s="397"/>
      <c r="N267" s="390"/>
      <c r="O267" s="1680"/>
      <c r="P267" s="1680"/>
      <c r="AH267" s="1687">
        <v>0</v>
      </c>
    </row>
    <row s="2774" customFormat="1" customHeight="1" ht="1.05">
      <c r="A268" s="1836"/>
      <c r="B268" s="1836"/>
      <c r="C268" s="425" t="s">
        <v>1293</v>
      </c>
      <c r="D268" s="2518"/>
      <c r="E268" s="2260"/>
      <c r="F268" s="2439"/>
      <c r="G268" s="456"/>
      <c r="H268" s="1556"/>
      <c r="I268" s="707"/>
      <c r="J268" s="627"/>
      <c r="K268" s="1556"/>
      <c r="L268" s="270"/>
      <c r="M268" s="397"/>
      <c r="N268" s="390"/>
      <c r="O268" s="1680"/>
      <c r="P268" s="1680"/>
      <c r="AH268" s="1687">
        <v>1</v>
      </c>
    </row>
    <row customHeight="1" ht="27.299999999999997">
      <c r="A269" s="1836"/>
      <c r="B269" s="1836"/>
      <c r="D269" s="432"/>
      <c r="E269" s="203" t="s">
        <v>96</v>
      </c>
      <c r="F269" s="251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16"/>
      <c r="H269" s="2516"/>
      <c r="I269" s="2516"/>
      <c r="J269" s="2516"/>
      <c r="K269" s="2516"/>
      <c r="L269" s="2516"/>
      <c r="M269" s="353"/>
      <c r="N269" s="390"/>
      <c r="AH269" s="430">
        <v>26</v>
      </c>
    </row>
    <row s="2774" customFormat="1" customHeight="1" ht="60.75" hidden="1">
      <c r="A270" s="1836" t="s">
        <v>228</v>
      </c>
      <c r="B270" s="1836" t="s">
        <v>229</v>
      </c>
      <c r="C270" s="425"/>
      <c r="D270" s="2518"/>
      <c r="E270" s="2260"/>
      <c r="F270" s="2439"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83" t="str">
        <f>INDEX(PT_DIFFERENTIATION_NTAR,MATCH(B270,PT_DIFFERENTIATION_NTAR_ID,0))</f>
        <v/>
      </c>
      <c r="H270" s="1918"/>
      <c r="I270" s="1795"/>
      <c r="J270" s="1829"/>
      <c r="K270" s="1834"/>
      <c r="L270" s="1918" t="s">
        <v>438</v>
      </c>
      <c r="M270" s="222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90"/>
      <c r="O270" s="1680"/>
      <c r="P270" s="1680"/>
      <c r="AH270" s="1687">
        <v>0</v>
      </c>
    </row>
    <row s="2774" customFormat="1" customHeight="1" ht="18.75" hidden="1">
      <c r="A271" s="1836"/>
      <c r="B271" s="1836"/>
      <c r="C271" s="425" t="s">
        <v>1286</v>
      </c>
      <c r="D271" s="2518"/>
      <c r="E271" s="2260"/>
      <c r="F271" s="2439"/>
      <c r="G271" s="2483"/>
      <c r="H271" s="1556"/>
      <c r="I271" s="707" t="s">
        <v>1285</v>
      </c>
      <c r="J271" s="627"/>
      <c r="K271" s="1556"/>
      <c r="L271" s="270"/>
      <c r="M271" s="2226"/>
      <c r="N271" s="390"/>
      <c r="O271" s="1680"/>
      <c r="P271" s="1680"/>
      <c r="AH271" s="1687">
        <v>0</v>
      </c>
    </row>
    <row s="2774" customFormat="1" customHeight="1" ht="0.75" hidden="1">
      <c r="A272" s="1836"/>
      <c r="B272" s="1836"/>
      <c r="C272" s="425" t="s">
        <v>1293</v>
      </c>
      <c r="D272" s="2518"/>
      <c r="E272" s="2260"/>
      <c r="F272" s="2439"/>
      <c r="G272" s="456"/>
      <c r="H272" s="1556"/>
      <c r="I272" s="707"/>
      <c r="J272" s="627"/>
      <c r="K272" s="1556"/>
      <c r="L272" s="270"/>
      <c r="M272" s="2226"/>
      <c r="N272" s="390"/>
      <c r="O272" s="1680"/>
      <c r="P272" s="1680"/>
      <c r="AH272" s="1687">
        <v>0</v>
      </c>
    </row>
    <row s="2774" customFormat="1" customHeight="1" ht="45" hidden="1">
      <c r="A273" s="1836" t="s">
        <v>233</v>
      </c>
      <c r="B273" s="1836" t="s">
        <v>234</v>
      </c>
      <c r="C273" s="425"/>
      <c r="D273" s="2518"/>
      <c r="E273" s="2260"/>
      <c r="F273" s="2439" t="str">
        <f>INDEX(PT_DIFFERENTIATION_VTAR,MATCH(A273,PT_DIFFERENTIATION_VTAR_ID,0))</f>
        <v/>
      </c>
      <c r="G273" s="2483" t="str">
        <f>INDEX(PT_DIFFERENTIATION_NTAR,MATCH(B273,PT_DIFFERENTIATION_NTAR_ID,0))</f>
        <v/>
      </c>
      <c r="H273" s="1918"/>
      <c r="I273" s="1795"/>
      <c r="J273" s="1829"/>
      <c r="K273" s="1834"/>
      <c r="L273" s="1918" t="s">
        <v>438</v>
      </c>
      <c r="M273" s="2227"/>
      <c r="N273" s="390"/>
      <c r="O273" s="1680"/>
      <c r="P273" s="1680"/>
      <c r="AH273" s="1687">
        <v>0</v>
      </c>
    </row>
    <row s="2774" customFormat="1" customHeight="1" ht="18.75" hidden="1">
      <c r="A274" s="1836"/>
      <c r="B274" s="1836"/>
      <c r="C274" s="425" t="s">
        <v>1286</v>
      </c>
      <c r="D274" s="2518"/>
      <c r="E274" s="2260"/>
      <c r="F274" s="2439"/>
      <c r="G274" s="2483"/>
      <c r="H274" s="1556"/>
      <c r="I274" s="707" t="s">
        <v>1285</v>
      </c>
      <c r="J274" s="627"/>
      <c r="K274" s="1556"/>
      <c r="L274" s="270"/>
      <c r="M274" s="1917"/>
      <c r="N274" s="390"/>
      <c r="O274" s="1680"/>
      <c r="P274" s="1680"/>
      <c r="AH274" s="1687">
        <v>0</v>
      </c>
    </row>
    <row s="2774" customFormat="1" customHeight="1" ht="0.75" hidden="1">
      <c r="A275" s="1836"/>
      <c r="B275" s="1836"/>
      <c r="C275" s="425" t="s">
        <v>1293</v>
      </c>
      <c r="D275" s="2518"/>
      <c r="E275" s="2260"/>
      <c r="F275" s="2439"/>
      <c r="G275" s="456"/>
      <c r="H275" s="1556"/>
      <c r="I275" s="707"/>
      <c r="J275" s="627"/>
      <c r="K275" s="1556"/>
      <c r="L275" s="270"/>
      <c r="M275" s="397"/>
      <c r="N275" s="390"/>
      <c r="O275" s="1680"/>
      <c r="P275" s="1680"/>
      <c r="AH275" s="1687">
        <v>0</v>
      </c>
    </row>
    <row s="2774" customFormat="1" customHeight="1" ht="45" hidden="1">
      <c r="A276" s="1836" t="s">
        <v>240</v>
      </c>
      <c r="B276" s="1836" t="s">
        <v>241</v>
      </c>
      <c r="C276" s="425"/>
      <c r="D276" s="2518"/>
      <c r="E276" s="2260"/>
      <c r="F276" s="2439"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83" t="str">
        <f>INDEX(PT_DIFFERENTIATION_NTAR,MATCH(B276,PT_DIFFERENTIATION_NTAR_ID,0))</f>
        <v/>
      </c>
      <c r="H276" s="1918"/>
      <c r="I276" s="1795"/>
      <c r="J276" s="1829"/>
      <c r="K276" s="1834"/>
      <c r="L276" s="1918" t="s">
        <v>438</v>
      </c>
      <c r="M276" s="397"/>
      <c r="N276" s="390"/>
      <c r="O276" s="1680"/>
      <c r="P276" s="1680"/>
      <c r="AH276" s="1687">
        <v>0</v>
      </c>
    </row>
    <row s="2774" customFormat="1" customHeight="1" ht="18.75" hidden="1">
      <c r="A277" s="1836"/>
      <c r="B277" s="1836"/>
      <c r="C277" s="425" t="s">
        <v>1286</v>
      </c>
      <c r="D277" s="2518"/>
      <c r="E277" s="2260"/>
      <c r="F277" s="2439"/>
      <c r="G277" s="2483"/>
      <c r="H277" s="1556"/>
      <c r="I277" s="707" t="s">
        <v>1285</v>
      </c>
      <c r="J277" s="627"/>
      <c r="K277" s="1556"/>
      <c r="L277" s="270"/>
      <c r="M277" s="397"/>
      <c r="N277" s="390"/>
      <c r="O277" s="1680"/>
      <c r="P277" s="1680"/>
      <c r="AH277" s="1687">
        <v>0</v>
      </c>
    </row>
    <row s="2774" customFormat="1" customHeight="1" ht="0.75" hidden="1">
      <c r="A278" s="1836"/>
      <c r="B278" s="1836"/>
      <c r="C278" s="425" t="s">
        <v>1293</v>
      </c>
      <c r="D278" s="2518"/>
      <c r="E278" s="2260"/>
      <c r="F278" s="2439"/>
      <c r="G278" s="456"/>
      <c r="H278" s="1556"/>
      <c r="I278" s="707"/>
      <c r="J278" s="627"/>
      <c r="K278" s="1556"/>
      <c r="L278" s="270"/>
      <c r="M278" s="397"/>
      <c r="N278" s="390"/>
      <c r="O278" s="1680"/>
      <c r="P278" s="1680"/>
      <c r="AH278" s="1687">
        <v>0</v>
      </c>
    </row>
    <row s="2774" customFormat="1" customHeight="1" ht="45" hidden="1">
      <c r="A279" s="1836" t="s">
        <v>246</v>
      </c>
      <c r="B279" s="1836" t="s">
        <v>247</v>
      </c>
      <c r="C279" s="425"/>
      <c r="D279" s="2518"/>
      <c r="E279" s="2260"/>
      <c r="F279" s="2439"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83" t="str">
        <f>INDEX(PT_DIFFERENTIATION_NTAR,MATCH(B279,PT_DIFFERENTIATION_NTAR_ID,0))</f>
        <v/>
      </c>
      <c r="H279" s="1918"/>
      <c r="I279" s="1795"/>
      <c r="J279" s="1829"/>
      <c r="K279" s="1834"/>
      <c r="L279" s="1918" t="s">
        <v>438</v>
      </c>
      <c r="M279" s="397"/>
      <c r="N279" s="390"/>
      <c r="O279" s="1680"/>
      <c r="P279" s="1680"/>
      <c r="AH279" s="1687">
        <v>0</v>
      </c>
    </row>
    <row s="2774" customFormat="1" customHeight="1" ht="18.75" hidden="1">
      <c r="A280" s="1836"/>
      <c r="B280" s="1836"/>
      <c r="C280" s="425" t="s">
        <v>1286</v>
      </c>
      <c r="D280" s="2518"/>
      <c r="E280" s="2260"/>
      <c r="F280" s="2439"/>
      <c r="G280" s="2483"/>
      <c r="H280" s="1556"/>
      <c r="I280" s="707" t="s">
        <v>1285</v>
      </c>
      <c r="J280" s="627"/>
      <c r="K280" s="1556"/>
      <c r="L280" s="270"/>
      <c r="M280" s="397"/>
      <c r="N280" s="390"/>
      <c r="O280" s="1680"/>
      <c r="P280" s="1680"/>
      <c r="AH280" s="1687">
        <v>0</v>
      </c>
    </row>
    <row s="2774" customFormat="1" customHeight="1" ht="0.75" hidden="1">
      <c r="A281" s="1836"/>
      <c r="B281" s="1836"/>
      <c r="C281" s="425" t="s">
        <v>1293</v>
      </c>
      <c r="D281" s="2518"/>
      <c r="E281" s="2260"/>
      <c r="F281" s="2439"/>
      <c r="G281" s="456"/>
      <c r="H281" s="1556"/>
      <c r="I281" s="707"/>
      <c r="J281" s="627"/>
      <c r="K281" s="1556"/>
      <c r="L281" s="270"/>
      <c r="M281" s="397"/>
      <c r="N281" s="390"/>
      <c r="O281" s="1680"/>
      <c r="P281" s="1680"/>
      <c r="AH281" s="1687">
        <v>0</v>
      </c>
    </row>
    <row s="2774" customFormat="1" customHeight="1" ht="18.75" hidden="1">
      <c r="A282" s="1836" t="s">
        <v>252</v>
      </c>
      <c r="B282" s="1836" t="s">
        <v>253</v>
      </c>
      <c r="C282" s="425"/>
      <c r="D282" s="2518"/>
      <c r="E282" s="2260"/>
      <c r="F282" s="2439" t="str">
        <f>INDEX(PT_DIFFERENTIATION_VTAR,MATCH(A282,PT_DIFFERENTIATION_VTAR_ID,0))</f>
        <v>Тарифы на услуги по передаче тепловой энергии</v>
      </c>
      <c r="G282" s="2483" t="str">
        <f>INDEX(PT_DIFFERENTIATION_NTAR,MATCH(B282,PT_DIFFERENTIATION_NTAR_ID,0))</f>
        <v/>
      </c>
      <c r="H282" s="1918"/>
      <c r="I282" s="1795"/>
      <c r="J282" s="1829"/>
      <c r="K282" s="1834"/>
      <c r="L282" s="1918" t="s">
        <v>438</v>
      </c>
      <c r="M282" s="397"/>
      <c r="N282" s="390"/>
      <c r="O282" s="1680"/>
      <c r="P282" s="1680"/>
      <c r="AH282" s="1687">
        <v>0</v>
      </c>
    </row>
    <row s="2774" customFormat="1" customHeight="1" ht="18.75" hidden="1">
      <c r="A283" s="1836"/>
      <c r="B283" s="1836"/>
      <c r="C283" s="425" t="s">
        <v>1286</v>
      </c>
      <c r="D283" s="2518"/>
      <c r="E283" s="2260"/>
      <c r="F283" s="2439"/>
      <c r="G283" s="2483"/>
      <c r="H283" s="1556"/>
      <c r="I283" s="707" t="s">
        <v>1285</v>
      </c>
      <c r="J283" s="627"/>
      <c r="K283" s="1556"/>
      <c r="L283" s="270"/>
      <c r="M283" s="397"/>
      <c r="N283" s="390"/>
      <c r="O283" s="1680"/>
      <c r="P283" s="1680"/>
      <c r="AH283" s="1687">
        <v>0</v>
      </c>
    </row>
    <row s="2774" customFormat="1" customHeight="1" ht="0.75" hidden="1">
      <c r="A284" s="1836"/>
      <c r="B284" s="1836"/>
      <c r="C284" s="425" t="s">
        <v>1293</v>
      </c>
      <c r="D284" s="2518"/>
      <c r="E284" s="2260"/>
      <c r="F284" s="2439"/>
      <c r="G284" s="456"/>
      <c r="H284" s="1556"/>
      <c r="I284" s="707"/>
      <c r="J284" s="627"/>
      <c r="K284" s="1556"/>
      <c r="L284" s="270"/>
      <c r="M284" s="397"/>
      <c r="N284" s="390"/>
      <c r="O284" s="1680"/>
      <c r="P284" s="1680"/>
      <c r="AH284" s="1687">
        <v>0</v>
      </c>
    </row>
    <row s="2774" customFormat="1" customHeight="1" ht="18.75" hidden="1">
      <c r="A285" s="1836" t="s">
        <v>258</v>
      </c>
      <c r="B285" s="1836" t="s">
        <v>259</v>
      </c>
      <c r="C285" s="425"/>
      <c r="D285" s="2518"/>
      <c r="E285" s="2260"/>
      <c r="F285" s="2439" t="str">
        <f>INDEX(PT_DIFFERENTIATION_VTAR,MATCH(A285,PT_DIFFERENTIATION_VTAR_ID,0))</f>
        <v>Тарифы на услуги по передаче теплоносителя</v>
      </c>
      <c r="G285" s="2483" t="str">
        <f>INDEX(PT_DIFFERENTIATION_NTAR,MATCH(B285,PT_DIFFERENTIATION_NTAR_ID,0))</f>
        <v/>
      </c>
      <c r="H285" s="1918"/>
      <c r="I285" s="1795"/>
      <c r="J285" s="1829"/>
      <c r="K285" s="1834"/>
      <c r="L285" s="1918" t="s">
        <v>438</v>
      </c>
      <c r="M285" s="397"/>
      <c r="N285" s="390"/>
      <c r="O285" s="1680"/>
      <c r="P285" s="1680"/>
      <c r="AH285" s="1687">
        <v>0</v>
      </c>
    </row>
    <row s="2774" customFormat="1" customHeight="1" ht="18.75" hidden="1">
      <c r="A286" s="1836"/>
      <c r="B286" s="1836"/>
      <c r="C286" s="425" t="s">
        <v>1286</v>
      </c>
      <c r="D286" s="2518"/>
      <c r="E286" s="2260"/>
      <c r="F286" s="2439"/>
      <c r="G286" s="2483"/>
      <c r="H286" s="1556"/>
      <c r="I286" s="707" t="s">
        <v>1285</v>
      </c>
      <c r="J286" s="627"/>
      <c r="K286" s="1556"/>
      <c r="L286" s="270"/>
      <c r="M286" s="397"/>
      <c r="N286" s="390"/>
      <c r="O286" s="1680"/>
      <c r="P286" s="1680"/>
      <c r="AH286" s="1687">
        <v>0</v>
      </c>
    </row>
    <row s="2774" customFormat="1" customHeight="1" ht="0.75" hidden="1">
      <c r="A287" s="1836"/>
      <c r="B287" s="1836"/>
      <c r="C287" s="425" t="s">
        <v>1293</v>
      </c>
      <c r="D287" s="2518"/>
      <c r="E287" s="2260"/>
      <c r="F287" s="2439"/>
      <c r="G287" s="456"/>
      <c r="H287" s="1556"/>
      <c r="I287" s="707"/>
      <c r="J287" s="627"/>
      <c r="K287" s="1556"/>
      <c r="L287" s="270"/>
      <c r="M287" s="397"/>
      <c r="N287" s="390"/>
      <c r="O287" s="1680"/>
      <c r="P287" s="1680"/>
      <c r="AH287" s="1687">
        <v>0</v>
      </c>
    </row>
    <row s="2774" customFormat="1" customHeight="1" ht="18.75" hidden="1">
      <c r="A288" s="1836" t="s">
        <v>264</v>
      </c>
      <c r="B288" s="1836" t="s">
        <v>265</v>
      </c>
      <c r="C288" s="425"/>
      <c r="D288" s="2518"/>
      <c r="E288" s="2260"/>
      <c r="F288" s="2439"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83" t="str">
        <f>INDEX(PT_DIFFERENTIATION_NTAR,MATCH(B288,PT_DIFFERENTIATION_NTAR_ID,0))</f>
        <v/>
      </c>
      <c r="H288" s="1918"/>
      <c r="I288" s="1795"/>
      <c r="J288" s="1829"/>
      <c r="K288" s="1834"/>
      <c r="L288" s="1918" t="s">
        <v>438</v>
      </c>
      <c r="M288" s="397"/>
      <c r="N288" s="390"/>
      <c r="O288" s="1680"/>
      <c r="P288" s="1680"/>
      <c r="AH288" s="1687">
        <v>0</v>
      </c>
    </row>
    <row s="2774" customFormat="1" customHeight="1" ht="18.75" hidden="1">
      <c r="A289" s="1836"/>
      <c r="B289" s="1836"/>
      <c r="C289" s="425" t="s">
        <v>1286</v>
      </c>
      <c r="D289" s="2518"/>
      <c r="E289" s="2260"/>
      <c r="F289" s="2439"/>
      <c r="G289" s="2483"/>
      <c r="H289" s="1556"/>
      <c r="I289" s="707" t="s">
        <v>1285</v>
      </c>
      <c r="J289" s="627"/>
      <c r="K289" s="1556"/>
      <c r="L289" s="270"/>
      <c r="M289" s="397"/>
      <c r="N289" s="390"/>
      <c r="O289" s="1680"/>
      <c r="P289" s="1680"/>
      <c r="AH289" s="1687">
        <v>0</v>
      </c>
    </row>
    <row s="2774" customFormat="1" customHeight="1" ht="0.75" hidden="1">
      <c r="A290" s="1836"/>
      <c r="B290" s="1836"/>
      <c r="C290" s="425" t="s">
        <v>1293</v>
      </c>
      <c r="D290" s="2518"/>
      <c r="E290" s="2260"/>
      <c r="F290" s="2439"/>
      <c r="G290" s="456"/>
      <c r="H290" s="1556"/>
      <c r="I290" s="707"/>
      <c r="J290" s="627"/>
      <c r="K290" s="1556"/>
      <c r="L290" s="270"/>
      <c r="M290" s="397"/>
      <c r="N290" s="390"/>
      <c r="O290" s="1680"/>
      <c r="P290" s="1680"/>
      <c r="AH290" s="1687">
        <v>0</v>
      </c>
    </row>
    <row s="2774" customFormat="1" customHeight="1" ht="18.75" hidden="1">
      <c r="A291" s="1836" t="s">
        <v>270</v>
      </c>
      <c r="B291" s="1836" t="s">
        <v>271</v>
      </c>
      <c r="C291" s="425"/>
      <c r="D291" s="2518"/>
      <c r="E291" s="2260"/>
      <c r="F291" s="2439" t="str">
        <f>INDEX(PT_DIFFERENTIATION_VTAR,MATCH(A291,PT_DIFFERENTIATION_VTAR_ID,0))</f>
        <v>Плата за подключение (технологическое присоединение) к системе теплоснабжения</v>
      </c>
      <c r="G291" s="2483" t="str">
        <f>INDEX(PT_DIFFERENTIATION_NTAR,MATCH(B291,PT_DIFFERENTIATION_NTAR_ID,0))</f>
        <v/>
      </c>
      <c r="H291" s="1918"/>
      <c r="I291" s="1795"/>
      <c r="J291" s="1829"/>
      <c r="K291" s="1834"/>
      <c r="L291" s="1918" t="s">
        <v>438</v>
      </c>
      <c r="M291" s="397"/>
      <c r="N291" s="390"/>
      <c r="O291" s="1680"/>
      <c r="P291" s="1680"/>
      <c r="AH291" s="1687">
        <v>0</v>
      </c>
    </row>
    <row s="2774" customFormat="1" customHeight="1" ht="18.75" hidden="1">
      <c r="A292" s="1836"/>
      <c r="B292" s="1836"/>
      <c r="C292" s="425" t="s">
        <v>1286</v>
      </c>
      <c r="D292" s="2518"/>
      <c r="E292" s="2260"/>
      <c r="F292" s="2439"/>
      <c r="G292" s="2483"/>
      <c r="H292" s="1556"/>
      <c r="I292" s="707" t="s">
        <v>1285</v>
      </c>
      <c r="J292" s="627"/>
      <c r="K292" s="1556"/>
      <c r="L292" s="270"/>
      <c r="M292" s="397"/>
      <c r="N292" s="390"/>
      <c r="O292" s="1680"/>
      <c r="P292" s="1680"/>
      <c r="AH292" s="1687">
        <v>0</v>
      </c>
    </row>
    <row s="2774" customFormat="1" customHeight="1" ht="0.75" hidden="1">
      <c r="A293" s="1836"/>
      <c r="B293" s="1836"/>
      <c r="C293" s="425" t="s">
        <v>1293</v>
      </c>
      <c r="D293" s="2518"/>
      <c r="E293" s="2260"/>
      <c r="F293" s="2439"/>
      <c r="G293" s="456"/>
      <c r="H293" s="1556"/>
      <c r="I293" s="707"/>
      <c r="J293" s="627"/>
      <c r="K293" s="1556"/>
      <c r="L293" s="270"/>
      <c r="M293" s="397"/>
      <c r="N293" s="390"/>
      <c r="O293" s="1680"/>
      <c r="P293" s="1680"/>
      <c r="AH293" s="1687">
        <v>0</v>
      </c>
    </row>
    <row s="2774" customFormat="1" customHeight="1" ht="18.75" hidden="1">
      <c r="A294" s="1836" t="s">
        <v>276</v>
      </c>
      <c r="B294" s="1836" t="s">
        <v>277</v>
      </c>
      <c r="C294" s="425"/>
      <c r="D294" s="2518"/>
      <c r="E294" s="2260"/>
      <c r="F294" s="2439" t="str">
        <f>INDEX(PT_DIFFERENTIATION_VTAR,MATCH(A294,PT_DIFFERENTIATION_VTAR_ID,0))</f>
        <v>Плата за подключение (технологическое присоединение) к системе теплоснабжения (индивидуальная)</v>
      </c>
      <c r="G294" s="2483" t="str">
        <f>INDEX(PT_DIFFERENTIATION_NTAR,MATCH(B294,PT_DIFFERENTIATION_NTAR_ID,0))</f>
        <v/>
      </c>
      <c r="H294" s="2045"/>
      <c r="I294" s="1795"/>
      <c r="J294" s="1829"/>
      <c r="K294" s="1834"/>
      <c r="L294" s="2045" t="s">
        <v>438</v>
      </c>
      <c r="M294" s="397"/>
      <c r="N294" s="390"/>
      <c r="O294" s="1680"/>
      <c r="P294" s="1680"/>
      <c r="AH294" s="1687">
        <v>0</v>
      </c>
    </row>
    <row s="2774" customFormat="1" customHeight="1" ht="18.75" hidden="1">
      <c r="A295" s="1836"/>
      <c r="B295" s="1836"/>
      <c r="C295" s="425" t="s">
        <v>1286</v>
      </c>
      <c r="D295" s="2518"/>
      <c r="E295" s="2260"/>
      <c r="F295" s="2439"/>
      <c r="G295" s="2483"/>
      <c r="H295" s="1556"/>
      <c r="I295" s="707" t="s">
        <v>1285</v>
      </c>
      <c r="J295" s="627"/>
      <c r="K295" s="1556"/>
      <c r="L295" s="270"/>
      <c r="M295" s="397"/>
      <c r="N295" s="390"/>
      <c r="O295" s="1680"/>
      <c r="P295" s="1680"/>
      <c r="AH295" s="1687">
        <v>0</v>
      </c>
    </row>
    <row s="2774" customFormat="1" customHeight="1" ht="0.75" hidden="1">
      <c r="A296" s="1836"/>
      <c r="B296" s="1836"/>
      <c r="C296" s="425" t="s">
        <v>1293</v>
      </c>
      <c r="D296" s="2518"/>
      <c r="E296" s="2260"/>
      <c r="F296" s="2439"/>
      <c r="G296" s="456"/>
      <c r="H296" s="1556"/>
      <c r="I296" s="707"/>
      <c r="J296" s="627"/>
      <c r="K296" s="1556"/>
      <c r="L296" s="270"/>
      <c r="M296" s="397"/>
      <c r="N296" s="390"/>
      <c r="O296" s="1680"/>
      <c r="P296" s="1680"/>
      <c r="AH296" s="1687">
        <v>0</v>
      </c>
    </row>
    <row s="2774" customFormat="1" customHeight="1" ht="18.75" hidden="1">
      <c r="A297" s="1836" t="s">
        <v>298</v>
      </c>
      <c r="B297" s="1836" t="s">
        <v>299</v>
      </c>
      <c r="C297" s="425"/>
      <c r="D297" s="2518"/>
      <c r="E297" s="2260"/>
      <c r="F297" s="2439" t="str">
        <f>INDEX(PT_DIFFERENTIATION_VTAR,MATCH(A297,PT_DIFFERENTIATION_VTAR_ID,0))</f>
        <v>Тариф на питьевую воду (питьевое водоснабжение)</v>
      </c>
      <c r="G297" s="2483" t="str">
        <f>INDEX(PT_DIFFERENTIATION_NTAR,MATCH(B297,PT_DIFFERENTIATION_NTAR_ID,0))</f>
        <v>Питьевая вода</v>
      </c>
      <c r="H297" s="1918"/>
      <c r="I297" s="1795"/>
      <c r="J297" s="1829"/>
      <c r="K297" s="1834"/>
      <c r="L297" s="1918" t="s">
        <v>438</v>
      </c>
      <c r="M297" s="397"/>
      <c r="N297" s="390"/>
      <c r="O297" s="1680"/>
      <c r="P297" s="1680"/>
      <c r="AH297" s="1687">
        <v>0</v>
      </c>
    </row>
    <row s="2774" customFormat="1" customHeight="1" ht="18.75" hidden="1">
      <c r="A298" s="1836"/>
      <c r="B298" s="1836"/>
      <c r="C298" s="425" t="s">
        <v>1286</v>
      </c>
      <c r="D298" s="2518"/>
      <c r="E298" s="2260"/>
      <c r="F298" s="2439"/>
      <c r="G298" s="2483"/>
      <c r="H298" s="1556"/>
      <c r="I298" s="707" t="s">
        <v>1285</v>
      </c>
      <c r="J298" s="627"/>
      <c r="K298" s="1556"/>
      <c r="L298" s="270"/>
      <c r="M298" s="397"/>
      <c r="N298" s="390"/>
      <c r="O298" s="1680"/>
      <c r="P298" s="1680"/>
      <c r="AH298" s="1687">
        <v>0</v>
      </c>
    </row>
    <row s="2774" customFormat="1" customHeight="1" ht="0.75" hidden="1">
      <c r="A299" s="1836"/>
      <c r="B299" s="1836"/>
      <c r="C299" s="425" t="s">
        <v>1293</v>
      </c>
      <c r="D299" s="2518"/>
      <c r="E299" s="2260"/>
      <c r="F299" s="2439"/>
      <c r="G299" s="456"/>
      <c r="H299" s="1556"/>
      <c r="I299" s="707"/>
      <c r="J299" s="627"/>
      <c r="K299" s="1556"/>
      <c r="L299" s="270"/>
      <c r="M299" s="397"/>
      <c r="N299" s="390"/>
      <c r="O299" s="1680"/>
      <c r="P299" s="1680"/>
      <c r="AH299" s="1687">
        <v>0</v>
      </c>
    </row>
    <row s="2774" customFormat="1" customHeight="1" ht="18.75" hidden="1">
      <c r="A300" s="1836" t="s">
        <v>362</v>
      </c>
      <c r="B300" s="1836" t="s">
        <v>363</v>
      </c>
      <c r="C300" s="425"/>
      <c r="D300" s="2518"/>
      <c r="E300" s="2260"/>
      <c r="F300" s="2439" t="str">
        <f>INDEX(PT_DIFFERENTIATION_VTAR,MATCH(A300,PT_DIFFERENTIATION_VTAR_ID,0))</f>
        <v>Тариф на техническую воду</v>
      </c>
      <c r="G300" s="2483" t="str">
        <f>INDEX(PT_DIFFERENTIATION_NTAR,MATCH(B300,PT_DIFFERENTIATION_NTAR_ID,0))</f>
        <v/>
      </c>
      <c r="H300" s="1918"/>
      <c r="I300" s="1795"/>
      <c r="J300" s="1829"/>
      <c r="K300" s="1834"/>
      <c r="L300" s="1918" t="s">
        <v>438</v>
      </c>
      <c r="M300" s="397"/>
      <c r="N300" s="390"/>
      <c r="O300" s="1680"/>
      <c r="P300" s="1680"/>
      <c r="AH300" s="1687">
        <v>0</v>
      </c>
    </row>
    <row s="2774" customFormat="1" customHeight="1" ht="18.75" hidden="1">
      <c r="A301" s="1836"/>
      <c r="B301" s="1836"/>
      <c r="C301" s="425" t="s">
        <v>1286</v>
      </c>
      <c r="D301" s="2518"/>
      <c r="E301" s="2260"/>
      <c r="F301" s="2439"/>
      <c r="G301" s="2483"/>
      <c r="H301" s="1556"/>
      <c r="I301" s="707" t="s">
        <v>1285</v>
      </c>
      <c r="J301" s="627"/>
      <c r="K301" s="1556"/>
      <c r="L301" s="270"/>
      <c r="M301" s="397"/>
      <c r="N301" s="390"/>
      <c r="O301" s="1680"/>
      <c r="P301" s="1680"/>
      <c r="AH301" s="1687">
        <v>0</v>
      </c>
    </row>
    <row s="2774" customFormat="1" customHeight="1" ht="0.75" hidden="1">
      <c r="A302" s="1836"/>
      <c r="B302" s="1836"/>
      <c r="C302" s="425" t="s">
        <v>1293</v>
      </c>
      <c r="D302" s="2518"/>
      <c r="E302" s="2260"/>
      <c r="F302" s="2439"/>
      <c r="G302" s="456"/>
      <c r="H302" s="1556"/>
      <c r="I302" s="707"/>
      <c r="J302" s="627"/>
      <c r="K302" s="1556"/>
      <c r="L302" s="270"/>
      <c r="M302" s="397"/>
      <c r="N302" s="390"/>
      <c r="O302" s="1680"/>
      <c r="P302" s="1680"/>
      <c r="AH302" s="1687">
        <v>0</v>
      </c>
    </row>
    <row s="2774" customFormat="1" customHeight="1" ht="18.75" hidden="1">
      <c r="A303" s="1836" t="s">
        <v>367</v>
      </c>
      <c r="B303" s="1836" t="s">
        <v>368</v>
      </c>
      <c r="C303" s="425"/>
      <c r="D303" s="2518"/>
      <c r="E303" s="2260"/>
      <c r="F303" s="2439" t="str">
        <f>INDEX(PT_DIFFERENTIATION_VTAR,MATCH(A303,PT_DIFFERENTIATION_VTAR_ID,0))</f>
        <v>Тариф на транспортировку воды</v>
      </c>
      <c r="G303" s="2483" t="str">
        <f>INDEX(PT_DIFFERENTIATION_NTAR,MATCH(B303,PT_DIFFERENTIATION_NTAR_ID,0))</f>
        <v/>
      </c>
      <c r="H303" s="1918"/>
      <c r="I303" s="1795"/>
      <c r="J303" s="1829"/>
      <c r="K303" s="1834"/>
      <c r="L303" s="1918" t="s">
        <v>438</v>
      </c>
      <c r="M303" s="397"/>
      <c r="N303" s="390"/>
      <c r="O303" s="1680"/>
      <c r="P303" s="1680"/>
      <c r="AH303" s="1687">
        <v>0</v>
      </c>
    </row>
    <row s="2774" customFormat="1" customHeight="1" ht="18.75" hidden="1">
      <c r="A304" s="1836"/>
      <c r="B304" s="1836"/>
      <c r="C304" s="425" t="s">
        <v>1286</v>
      </c>
      <c r="D304" s="2518"/>
      <c r="E304" s="2260"/>
      <c r="F304" s="2439"/>
      <c r="G304" s="2483"/>
      <c r="H304" s="1556"/>
      <c r="I304" s="707" t="s">
        <v>1285</v>
      </c>
      <c r="J304" s="627"/>
      <c r="K304" s="1556"/>
      <c r="L304" s="270"/>
      <c r="M304" s="397"/>
      <c r="N304" s="390"/>
      <c r="O304" s="1680"/>
      <c r="P304" s="1680"/>
      <c r="AH304" s="1687">
        <v>0</v>
      </c>
    </row>
    <row s="2774" customFormat="1" customHeight="1" ht="0.75" hidden="1">
      <c r="A305" s="1836"/>
      <c r="B305" s="1836"/>
      <c r="C305" s="425" t="s">
        <v>1293</v>
      </c>
      <c r="D305" s="2518"/>
      <c r="E305" s="2260"/>
      <c r="F305" s="2439"/>
      <c r="G305" s="456"/>
      <c r="H305" s="1556"/>
      <c r="I305" s="707"/>
      <c r="J305" s="627"/>
      <c r="K305" s="1556"/>
      <c r="L305" s="270"/>
      <c r="M305" s="397"/>
      <c r="N305" s="390"/>
      <c r="O305" s="1680"/>
      <c r="P305" s="1680"/>
      <c r="AH305" s="1687">
        <v>0</v>
      </c>
    </row>
    <row s="2774" customFormat="1" customHeight="1" ht="18.75" hidden="1">
      <c r="A306" s="1836" t="s">
        <v>372</v>
      </c>
      <c r="B306" s="1836" t="s">
        <v>373</v>
      </c>
      <c r="C306" s="425"/>
      <c r="D306" s="2518"/>
      <c r="E306" s="2260"/>
      <c r="F306" s="2439" t="str">
        <f>INDEX(PT_DIFFERENTIATION_VTAR,MATCH(A306,PT_DIFFERENTIATION_VTAR_ID,0))</f>
        <v>Тариф на подвоз воды</v>
      </c>
      <c r="G306" s="2483" t="str">
        <f>INDEX(PT_DIFFERENTIATION_NTAR,MATCH(B306,PT_DIFFERENTIATION_NTAR_ID,0))</f>
        <v/>
      </c>
      <c r="H306" s="1918"/>
      <c r="I306" s="1795"/>
      <c r="J306" s="1829"/>
      <c r="K306" s="1834"/>
      <c r="L306" s="1918" t="s">
        <v>438</v>
      </c>
      <c r="M306" s="397"/>
      <c r="N306" s="390"/>
      <c r="O306" s="1680"/>
      <c r="P306" s="1680"/>
      <c r="AH306" s="1687">
        <v>0</v>
      </c>
    </row>
    <row s="2774" customFormat="1" customHeight="1" ht="18.75" hidden="1">
      <c r="A307" s="1836"/>
      <c r="B307" s="1836"/>
      <c r="C307" s="425" t="s">
        <v>1286</v>
      </c>
      <c r="D307" s="2518"/>
      <c r="E307" s="2260"/>
      <c r="F307" s="2439"/>
      <c r="G307" s="2483"/>
      <c r="H307" s="1556"/>
      <c r="I307" s="707" t="s">
        <v>1285</v>
      </c>
      <c r="J307" s="627"/>
      <c r="K307" s="1556"/>
      <c r="L307" s="270"/>
      <c r="M307" s="397"/>
      <c r="N307" s="390"/>
      <c r="O307" s="1680"/>
      <c r="P307" s="1680"/>
      <c r="AH307" s="1687">
        <v>0</v>
      </c>
    </row>
    <row s="2774" customFormat="1" customHeight="1" ht="0.75" hidden="1">
      <c r="A308" s="1836"/>
      <c r="B308" s="1836"/>
      <c r="C308" s="425" t="s">
        <v>1293</v>
      </c>
      <c r="D308" s="2518"/>
      <c r="E308" s="2260"/>
      <c r="F308" s="2439"/>
      <c r="G308" s="456"/>
      <c r="H308" s="1556"/>
      <c r="I308" s="707"/>
      <c r="J308" s="627"/>
      <c r="K308" s="1556"/>
      <c r="L308" s="270"/>
      <c r="M308" s="397"/>
      <c r="N308" s="390"/>
      <c r="O308" s="1680"/>
      <c r="P308" s="1680"/>
      <c r="AH308" s="1687">
        <v>0</v>
      </c>
    </row>
    <row s="2774" customFormat="1" customHeight="1" ht="18.75" hidden="1">
      <c r="A309" s="1836" t="s">
        <v>377</v>
      </c>
      <c r="B309" s="1836" t="s">
        <v>378</v>
      </c>
      <c r="C309" s="425"/>
      <c r="D309" s="2518"/>
      <c r="E309" s="2260"/>
      <c r="F309" s="2439"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83" t="str">
        <f>INDEX(PT_DIFFERENTIATION_NTAR,MATCH(B309,PT_DIFFERENTIATION_NTAR_ID,0))</f>
        <v/>
      </c>
      <c r="H309" s="1918"/>
      <c r="I309" s="1795"/>
      <c r="J309" s="1829"/>
      <c r="K309" s="1834"/>
      <c r="L309" s="1918" t="s">
        <v>438</v>
      </c>
      <c r="M309" s="397"/>
      <c r="N309" s="390"/>
      <c r="O309" s="1680"/>
      <c r="P309" s="1680"/>
      <c r="AH309" s="1687">
        <v>0</v>
      </c>
    </row>
    <row s="2774" customFormat="1" customHeight="1" ht="18.75" hidden="1">
      <c r="A310" s="1836"/>
      <c r="B310" s="1836"/>
      <c r="C310" s="425" t="s">
        <v>1286</v>
      </c>
      <c r="D310" s="2518"/>
      <c r="E310" s="2260"/>
      <c r="F310" s="2439"/>
      <c r="G310" s="2483"/>
      <c r="H310" s="1556"/>
      <c r="I310" s="707" t="s">
        <v>1285</v>
      </c>
      <c r="J310" s="627"/>
      <c r="K310" s="1556"/>
      <c r="L310" s="270"/>
      <c r="M310" s="397"/>
      <c r="N310" s="390"/>
      <c r="O310" s="1680"/>
      <c r="P310" s="1680"/>
      <c r="AH310" s="1687">
        <v>0</v>
      </c>
    </row>
    <row s="2774" customFormat="1" customHeight="1" ht="0.75" hidden="1">
      <c r="A311" s="1836"/>
      <c r="B311" s="1836"/>
      <c r="C311" s="425" t="s">
        <v>1293</v>
      </c>
      <c r="D311" s="2518"/>
      <c r="E311" s="2260"/>
      <c r="F311" s="2439"/>
      <c r="G311" s="456"/>
      <c r="H311" s="1556"/>
      <c r="I311" s="707"/>
      <c r="J311" s="627"/>
      <c r="K311" s="1556"/>
      <c r="L311" s="270"/>
      <c r="M311" s="397"/>
      <c r="N311" s="390"/>
      <c r="O311" s="1680"/>
      <c r="P311" s="1680"/>
      <c r="AH311" s="1687">
        <v>0</v>
      </c>
    </row>
    <row s="2774" customFormat="1" customHeight="1" ht="18.75" hidden="1">
      <c r="A312" s="1836" t="s">
        <v>382</v>
      </c>
      <c r="B312" s="1836" t="s">
        <v>383</v>
      </c>
      <c r="C312" s="425"/>
      <c r="D312" s="2518"/>
      <c r="E312" s="2260"/>
      <c r="F312" s="2439" t="str">
        <f>INDEX(PT_DIFFERENTIATION_VTAR,MATCH(A312,PT_DIFFERENTIATION_VTAR_ID,0))</f>
        <v>Тариф на горячую воду (горячее водоснабжение)</v>
      </c>
      <c r="G312" s="2483" t="str">
        <f>INDEX(PT_DIFFERENTIATION_NTAR,MATCH(B312,PT_DIFFERENTIATION_NTAR_ID,0))</f>
        <v/>
      </c>
      <c r="H312" s="1918"/>
      <c r="I312" s="1795"/>
      <c r="J312" s="1829"/>
      <c r="K312" s="1834"/>
      <c r="L312" s="1918" t="s">
        <v>438</v>
      </c>
      <c r="M312" s="397"/>
      <c r="N312" s="390"/>
      <c r="O312" s="1680"/>
      <c r="P312" s="1680"/>
      <c r="AH312" s="1687">
        <v>0</v>
      </c>
    </row>
    <row s="2774" customFormat="1" customHeight="1" ht="18.75" hidden="1">
      <c r="A313" s="1836"/>
      <c r="B313" s="1836"/>
      <c r="C313" s="425" t="s">
        <v>1286</v>
      </c>
      <c r="D313" s="2518"/>
      <c r="E313" s="2260"/>
      <c r="F313" s="2439"/>
      <c r="G313" s="2483"/>
      <c r="H313" s="1556"/>
      <c r="I313" s="707" t="s">
        <v>1285</v>
      </c>
      <c r="J313" s="627"/>
      <c r="K313" s="1556"/>
      <c r="L313" s="270"/>
      <c r="M313" s="397"/>
      <c r="N313" s="390"/>
      <c r="O313" s="1680"/>
      <c r="P313" s="1680"/>
      <c r="AH313" s="1687">
        <v>0</v>
      </c>
    </row>
    <row s="2774" customFormat="1" customHeight="1" ht="0.75" hidden="1">
      <c r="A314" s="1836"/>
      <c r="B314" s="1836"/>
      <c r="C314" s="425" t="s">
        <v>1293</v>
      </c>
      <c r="D314" s="2518"/>
      <c r="E314" s="2260"/>
      <c r="F314" s="2439"/>
      <c r="G314" s="456"/>
      <c r="H314" s="1556"/>
      <c r="I314" s="707"/>
      <c r="J314" s="627"/>
      <c r="K314" s="1556"/>
      <c r="L314" s="270"/>
      <c r="M314" s="397"/>
      <c r="N314" s="390"/>
      <c r="O314" s="1680"/>
      <c r="P314" s="1680"/>
      <c r="AH314" s="1687">
        <v>0</v>
      </c>
    </row>
    <row s="2774" customFormat="1" customHeight="1" ht="18.75" hidden="1">
      <c r="A315" s="1836" t="s">
        <v>387</v>
      </c>
      <c r="B315" s="1836" t="s">
        <v>388</v>
      </c>
      <c r="C315" s="425"/>
      <c r="D315" s="2518"/>
      <c r="E315" s="2260"/>
      <c r="F315" s="2439" t="str">
        <f>INDEX(PT_DIFFERENTIATION_VTAR,MATCH(A315,PT_DIFFERENTIATION_VTAR_ID,0))</f>
        <v>Тариф на транспортировку горячей воды</v>
      </c>
      <c r="G315" s="2483" t="str">
        <f>INDEX(PT_DIFFERENTIATION_NTAR,MATCH(B315,PT_DIFFERENTIATION_NTAR_ID,0))</f>
        <v/>
      </c>
      <c r="H315" s="1918"/>
      <c r="I315" s="1795"/>
      <c r="J315" s="1829"/>
      <c r="K315" s="1834"/>
      <c r="L315" s="1918" t="s">
        <v>438</v>
      </c>
      <c r="M315" s="397"/>
      <c r="N315" s="390"/>
      <c r="O315" s="1680"/>
      <c r="P315" s="1680"/>
      <c r="AH315" s="1687">
        <v>0</v>
      </c>
    </row>
    <row s="2774" customFormat="1" customHeight="1" ht="18.75" hidden="1">
      <c r="A316" s="1836"/>
      <c r="B316" s="1836"/>
      <c r="C316" s="425" t="s">
        <v>1286</v>
      </c>
      <c r="D316" s="2518"/>
      <c r="E316" s="2260"/>
      <c r="F316" s="2439"/>
      <c r="G316" s="2483"/>
      <c r="H316" s="1556"/>
      <c r="I316" s="707" t="s">
        <v>1285</v>
      </c>
      <c r="J316" s="627"/>
      <c r="K316" s="1556"/>
      <c r="L316" s="270"/>
      <c r="M316" s="397"/>
      <c r="N316" s="390"/>
      <c r="O316" s="1680"/>
      <c r="P316" s="1680"/>
      <c r="AH316" s="1687">
        <v>0</v>
      </c>
    </row>
    <row s="2774" customFormat="1" customHeight="1" ht="0.75" hidden="1">
      <c r="A317" s="1836"/>
      <c r="B317" s="1836"/>
      <c r="C317" s="425" t="s">
        <v>1293</v>
      </c>
      <c r="D317" s="2518"/>
      <c r="E317" s="2260"/>
      <c r="F317" s="2439"/>
      <c r="G317" s="456"/>
      <c r="H317" s="1556"/>
      <c r="I317" s="707"/>
      <c r="J317" s="627"/>
      <c r="K317" s="1556"/>
      <c r="L317" s="270"/>
      <c r="M317" s="397"/>
      <c r="N317" s="390"/>
      <c r="O317" s="1680"/>
      <c r="P317" s="1680"/>
      <c r="AH317" s="1687">
        <v>0</v>
      </c>
    </row>
    <row s="2774" customFormat="1" customHeight="1" ht="18.75" hidden="1">
      <c r="A318" s="1836" t="s">
        <v>392</v>
      </c>
      <c r="B318" s="1836" t="s">
        <v>393</v>
      </c>
      <c r="C318" s="425"/>
      <c r="D318" s="2518"/>
      <c r="E318" s="2260"/>
      <c r="F318" s="2439"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83" t="str">
        <f>INDEX(PT_DIFFERENTIATION_NTAR,MATCH(B318,PT_DIFFERENTIATION_NTAR_ID,0))</f>
        <v/>
      </c>
      <c r="H318" s="1918"/>
      <c r="I318" s="1795"/>
      <c r="J318" s="1829"/>
      <c r="K318" s="1834"/>
      <c r="L318" s="1918" t="s">
        <v>438</v>
      </c>
      <c r="M318" s="397"/>
      <c r="N318" s="390"/>
      <c r="O318" s="1680"/>
      <c r="P318" s="1680"/>
      <c r="AH318" s="1687">
        <v>0</v>
      </c>
    </row>
    <row s="2774" customFormat="1" customHeight="1" ht="18.75" hidden="1">
      <c r="A319" s="1836"/>
      <c r="B319" s="1836"/>
      <c r="C319" s="425" t="s">
        <v>1286</v>
      </c>
      <c r="D319" s="2518"/>
      <c r="E319" s="2260"/>
      <c r="F319" s="2439"/>
      <c r="G319" s="2483"/>
      <c r="H319" s="1556"/>
      <c r="I319" s="707" t="s">
        <v>1285</v>
      </c>
      <c r="J319" s="627"/>
      <c r="K319" s="1556"/>
      <c r="L319" s="270"/>
      <c r="M319" s="397"/>
      <c r="N319" s="390"/>
      <c r="O319" s="1680"/>
      <c r="P319" s="1680"/>
      <c r="AH319" s="1687">
        <v>0</v>
      </c>
    </row>
    <row s="2774" customFormat="1" customHeight="1" ht="0.75" hidden="1">
      <c r="A320" s="1836"/>
      <c r="B320" s="1836"/>
      <c r="C320" s="425" t="s">
        <v>1293</v>
      </c>
      <c r="D320" s="2518"/>
      <c r="E320" s="2260"/>
      <c r="F320" s="2439"/>
      <c r="G320" s="456"/>
      <c r="H320" s="1556"/>
      <c r="I320" s="707"/>
      <c r="J320" s="627"/>
      <c r="K320" s="1556"/>
      <c r="L320" s="270"/>
      <c r="M320" s="397"/>
      <c r="N320" s="390"/>
      <c r="O320" s="1680"/>
      <c r="P320" s="1680"/>
      <c r="AH320" s="1687">
        <v>0</v>
      </c>
    </row>
    <row s="2774" customFormat="1" customHeight="1" ht="18.75" hidden="1">
      <c r="A321" s="1836" t="s">
        <v>397</v>
      </c>
      <c r="B321" s="1836" t="s">
        <v>398</v>
      </c>
      <c r="C321" s="425"/>
      <c r="D321" s="2518"/>
      <c r="E321" s="2260"/>
      <c r="F321" s="2439" t="str">
        <f>INDEX(PT_DIFFERENTIATION_VTAR,MATCH(A321,PT_DIFFERENTIATION_VTAR_ID,0))</f>
        <v>Тариф на водоотведение</v>
      </c>
      <c r="G321" s="2483" t="str">
        <f>INDEX(PT_DIFFERENTIATION_NTAR,MATCH(B321,PT_DIFFERENTIATION_NTAR_ID,0))</f>
        <v/>
      </c>
      <c r="H321" s="1918"/>
      <c r="I321" s="1795"/>
      <c r="J321" s="1829"/>
      <c r="K321" s="1834"/>
      <c r="L321" s="1918" t="s">
        <v>438</v>
      </c>
      <c r="M321" s="397"/>
      <c r="N321" s="390"/>
      <c r="O321" s="1680"/>
      <c r="P321" s="1680"/>
      <c r="AH321" s="1687">
        <v>0</v>
      </c>
    </row>
    <row s="2774" customFormat="1" customHeight="1" ht="18.75" hidden="1">
      <c r="A322" s="1836"/>
      <c r="B322" s="1836"/>
      <c r="C322" s="425" t="s">
        <v>1286</v>
      </c>
      <c r="D322" s="2518"/>
      <c r="E322" s="2260"/>
      <c r="F322" s="2439"/>
      <c r="G322" s="2483"/>
      <c r="H322" s="1556"/>
      <c r="I322" s="707" t="s">
        <v>1285</v>
      </c>
      <c r="J322" s="627"/>
      <c r="K322" s="1556"/>
      <c r="L322" s="270"/>
      <c r="M322" s="397"/>
      <c r="N322" s="390"/>
      <c r="O322" s="1680"/>
      <c r="P322" s="1680"/>
      <c r="AH322" s="1687">
        <v>0</v>
      </c>
    </row>
    <row s="2774" customFormat="1" customHeight="1" ht="0.75" hidden="1">
      <c r="A323" s="1836"/>
      <c r="B323" s="1836"/>
      <c r="C323" s="425" t="s">
        <v>1293</v>
      </c>
      <c r="D323" s="2518"/>
      <c r="E323" s="2260"/>
      <c r="F323" s="2439"/>
      <c r="G323" s="456"/>
      <c r="H323" s="1556"/>
      <c r="I323" s="707"/>
      <c r="J323" s="627"/>
      <c r="K323" s="1556"/>
      <c r="L323" s="270"/>
      <c r="M323" s="397"/>
      <c r="N323" s="390"/>
      <c r="O323" s="1680"/>
      <c r="P323" s="1680"/>
      <c r="AH323" s="1687">
        <v>0</v>
      </c>
    </row>
    <row s="2774" customFormat="1" customHeight="1" ht="18.75" hidden="1">
      <c r="A324" s="1836" t="s">
        <v>402</v>
      </c>
      <c r="B324" s="1836" t="s">
        <v>403</v>
      </c>
      <c r="C324" s="425"/>
      <c r="D324" s="2518"/>
      <c r="E324" s="2260"/>
      <c r="F324" s="2439" t="str">
        <f>INDEX(PT_DIFFERENTIATION_VTAR,MATCH(A324,PT_DIFFERENTIATION_VTAR_ID,0))</f>
        <v>Тариф на транспортировку сточных вод</v>
      </c>
      <c r="G324" s="2483" t="str">
        <f>INDEX(PT_DIFFERENTIATION_NTAR,MATCH(B324,PT_DIFFERENTIATION_NTAR_ID,0))</f>
        <v/>
      </c>
      <c r="H324" s="1918"/>
      <c r="I324" s="1795"/>
      <c r="J324" s="1829"/>
      <c r="K324" s="1834"/>
      <c r="L324" s="1918" t="s">
        <v>438</v>
      </c>
      <c r="M324" s="397"/>
      <c r="N324" s="390"/>
      <c r="O324" s="1680"/>
      <c r="P324" s="1680"/>
      <c r="AH324" s="1687">
        <v>0</v>
      </c>
    </row>
    <row s="2774" customFormat="1" customHeight="1" ht="18.75" hidden="1">
      <c r="A325" s="1836"/>
      <c r="B325" s="1836"/>
      <c r="C325" s="425" t="s">
        <v>1286</v>
      </c>
      <c r="D325" s="2518"/>
      <c r="E325" s="2260"/>
      <c r="F325" s="2439"/>
      <c r="G325" s="2483"/>
      <c r="H325" s="1556"/>
      <c r="I325" s="707" t="s">
        <v>1285</v>
      </c>
      <c r="J325" s="627"/>
      <c r="K325" s="1556"/>
      <c r="L325" s="270"/>
      <c r="M325" s="397"/>
      <c r="N325" s="390"/>
      <c r="O325" s="1680"/>
      <c r="P325" s="1680"/>
      <c r="AH325" s="1687">
        <v>0</v>
      </c>
    </row>
    <row s="2774" customFormat="1" customHeight="1" ht="0.75" hidden="1">
      <c r="A326" s="1836"/>
      <c r="B326" s="1836"/>
      <c r="C326" s="425" t="s">
        <v>1293</v>
      </c>
      <c r="D326" s="2518"/>
      <c r="E326" s="2260"/>
      <c r="F326" s="2439"/>
      <c r="G326" s="456"/>
      <c r="H326" s="1556"/>
      <c r="I326" s="707"/>
      <c r="J326" s="627"/>
      <c r="K326" s="1556"/>
      <c r="L326" s="270"/>
      <c r="M326" s="397"/>
      <c r="N326" s="390"/>
      <c r="O326" s="1680"/>
      <c r="P326" s="1680"/>
      <c r="AH326" s="1687">
        <v>0</v>
      </c>
    </row>
    <row s="2774" customFormat="1" customHeight="1" ht="18.75" hidden="1">
      <c r="A327" s="1836" t="s">
        <v>407</v>
      </c>
      <c r="B327" s="1836" t="s">
        <v>408</v>
      </c>
      <c r="C327" s="425"/>
      <c r="D327" s="2518"/>
      <c r="E327" s="2260"/>
      <c r="F327" s="2439" t="str">
        <f>INDEX(PT_DIFFERENTIATION_VTAR,MATCH(A327,PT_DIFFERENTIATION_VTAR_ID,0))</f>
        <v>Тариф на подключение (технологическое присоединение) к централизованной системе водоотведения</v>
      </c>
      <c r="G327" s="2483" t="str">
        <f>INDEX(PT_DIFFERENTIATION_NTAR,MATCH(B327,PT_DIFFERENTIATION_NTAR_ID,0))</f>
        <v/>
      </c>
      <c r="H327" s="1918"/>
      <c r="I327" s="1795"/>
      <c r="J327" s="1829"/>
      <c r="K327" s="1834"/>
      <c r="L327" s="1918" t="s">
        <v>438</v>
      </c>
      <c r="M327" s="397"/>
      <c r="N327" s="390"/>
      <c r="O327" s="1680"/>
      <c r="P327" s="1680"/>
      <c r="AH327" s="1687">
        <v>0</v>
      </c>
    </row>
    <row s="2774" customFormat="1" customHeight="1" ht="18.75" hidden="1">
      <c r="A328" s="1836"/>
      <c r="B328" s="1836"/>
      <c r="C328" s="425" t="s">
        <v>1286</v>
      </c>
      <c r="D328" s="2518"/>
      <c r="E328" s="2260"/>
      <c r="F328" s="2439"/>
      <c r="G328" s="2483"/>
      <c r="H328" s="1556"/>
      <c r="I328" s="707" t="s">
        <v>1285</v>
      </c>
      <c r="J328" s="627"/>
      <c r="K328" s="1556"/>
      <c r="L328" s="270"/>
      <c r="M328" s="397"/>
      <c r="N328" s="390"/>
      <c r="O328" s="1680"/>
      <c r="P328" s="1680"/>
      <c r="AH328" s="1687">
        <v>0</v>
      </c>
    </row>
    <row s="2774" customFormat="1" customHeight="1" ht="1.05">
      <c r="A329" s="1836"/>
      <c r="B329" s="1836"/>
      <c r="C329" s="425" t="s">
        <v>1293</v>
      </c>
      <c r="D329" s="2518"/>
      <c r="E329" s="2260"/>
      <c r="F329" s="2439"/>
      <c r="G329" s="456"/>
      <c r="H329" s="1556"/>
      <c r="I329" s="707"/>
      <c r="J329" s="627"/>
      <c r="K329" s="1556"/>
      <c r="L329" s="270"/>
      <c r="M329" s="397"/>
      <c r="N329" s="390"/>
      <c r="O329" s="1680"/>
      <c r="P329" s="1680"/>
      <c r="AH329" s="1687">
        <v>1</v>
      </c>
    </row>
    <row s="12959" customFormat="1" customHeight="1" ht="3">
      <c r="A330" s="1836"/>
      <c r="B330" s="1836"/>
      <c r="C330" s="1837"/>
      <c r="E330" s="458"/>
      <c r="F330" s="458"/>
      <c r="G330" s="458"/>
      <c r="H330" s="458"/>
      <c r="I330" s="458"/>
      <c r="J330" s="458"/>
      <c r="K330" s="458"/>
      <c r="L330" s="458"/>
      <c r="M330" s="458"/>
      <c r="O330" s="252"/>
      <c r="P330" s="252"/>
      <c r="AH330" s="196">
        <v>3</v>
      </c>
    </row>
    <row customHeight="1" ht="26.25">
      <c r="E331" s="258"/>
      <c r="F331" s="2341"/>
      <c r="G331" s="2341"/>
      <c r="H331" s="2341"/>
      <c r="I331" s="2341"/>
      <c r="J331" s="2341"/>
      <c r="K331" s="2341"/>
      <c r="L331" s="2341"/>
      <c r="M331" s="2341"/>
      <c r="AH331" s="430">
        <v>25</v>
      </c>
    </row>
    <row customHeight="1" ht="14.25" hidden="1">
      <c r="A332" s="1835" t="s">
        <v>86</v>
      </c>
      <c r="B332" s="1835">
        <v>0</v>
      </c>
      <c r="C332" s="425">
        <v>0</v>
      </c>
      <c r="D332" s="400">
        <v>3</v>
      </c>
      <c r="E332" s="430">
        <v>6</v>
      </c>
      <c r="F332" s="430">
        <v>46</v>
      </c>
      <c r="G332" s="430">
        <v>35</v>
      </c>
      <c r="H332" s="430">
        <v>3</v>
      </c>
      <c r="I332" s="430">
        <v>11</v>
      </c>
      <c r="J332" s="430">
        <v>11</v>
      </c>
      <c r="K332" s="430">
        <v>35</v>
      </c>
      <c r="L332" s="430">
        <v>35</v>
      </c>
      <c r="M332" s="430">
        <v>84</v>
      </c>
      <c r="N332" s="430">
        <v>10</v>
      </c>
      <c r="O332" s="406">
        <v>10</v>
      </c>
      <c r="P332" s="406">
        <v>10</v>
      </c>
      <c r="Q332" s="430">
        <v>10</v>
      </c>
      <c r="R332" s="430">
        <v>10</v>
      </c>
      <c r="S332" s="430">
        <v>10</v>
      </c>
      <c r="T332" s="430">
        <v>10</v>
      </c>
      <c r="U332" s="430">
        <v>10</v>
      </c>
      <c r="V332" s="430">
        <v>10</v>
      </c>
      <c r="W332" s="430">
        <v>10</v>
      </c>
      <c r="X332" s="430">
        <v>10</v>
      </c>
      <c r="Y332" s="430">
        <v>10</v>
      </c>
      <c r="Z332" s="430">
        <v>10</v>
      </c>
      <c r="AA332" s="430">
        <v>10</v>
      </c>
      <c r="AB332" s="430">
        <v>10</v>
      </c>
      <c r="AC332" s="430">
        <v>10</v>
      </c>
      <c r="AD332" s="430">
        <v>10</v>
      </c>
      <c r="AE332" s="430">
        <v>10</v>
      </c>
      <c r="AF332" s="430">
        <v>10</v>
      </c>
      <c r="AG332" s="430">
        <v>10</v>
      </c>
      <c r="AH332" s="430">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FACCCA-BAFD-D9F4-7982-AEA76291A369}" mc:Ignorable="x14ac xr xr2 xr3">
  <sheetPr>
    <tabColor theme="6" tint="0.4"/>
  </sheetPr>
  <dimension ref="A1:R17"/>
  <sheetViews>
    <sheetView topLeftCell="A1" showGridLines="0" zoomScale="90" workbookViewId="0">
      <selection activeCell="A1" sqref="A1"/>
    </sheetView>
  </sheetViews>
  <sheetFormatPr defaultColWidth="10.57421875" customHeight="1" defaultRowHeight="14.25"/>
  <cols>
    <col min="1" max="1" style="3680" width="9.140625" hidden="1" customWidth="1"/>
    <col min="2" max="2" style="2850" width="9.140625" hidden="1" customWidth="1"/>
    <col min="3" max="3" style="3677" width="3.00390625" customWidth="1"/>
    <col min="4" max="4" style="2774" width="6.00390625" customWidth="1"/>
    <col min="5" max="5" style="2774" width="53.00390625" customWidth="1"/>
    <col min="6" max="7" style="2774" width="35.00390625" customWidth="1"/>
    <col min="8" max="8" style="2774" width="89.00390625" customWidth="1"/>
    <col min="9" max="9" style="2774" width="10.00390625" customWidth="1"/>
    <col min="10" max="11" style="2933" width="10.00390625" customWidth="1"/>
    <col min="12" max="17" style="2774" width="10.00390625" customWidth="1"/>
    <col min="18" max="18" style="2774" width="10.57421875" hidden="1"/>
  </cols>
  <sheetData>
    <row customHeight="1" ht="22.5" hidden="1">
      <c r="N1" s="311"/>
      <c r="O1" s="311"/>
      <c r="Q1" s="311"/>
      <c r="R1" s="430" t="s">
        <v>14</v>
      </c>
    </row>
    <row s="2774" customFormat="1" customHeight="1" ht="18.75" hidden="1">
      <c r="A2" s="158"/>
      <c r="B2" s="1216"/>
      <c r="C2" s="1786" t="s">
        <v>109</v>
      </c>
      <c r="D2" s="1729"/>
      <c r="E2" s="1738"/>
      <c r="F2" s="313"/>
      <c r="G2" s="1217"/>
      <c r="H2" s="430"/>
      <c r="I2" s="1680"/>
      <c r="J2" s="1680"/>
      <c r="R2" s="1687">
        <v>0</v>
      </c>
    </row>
    <row customHeight="1" ht="14.25" hidden="1">
      <c r="R3" s="430">
        <v>0</v>
      </c>
    </row>
    <row customHeight="1" ht="6.3">
      <c r="C4" s="432"/>
      <c r="D4" s="419"/>
      <c r="E4" s="419"/>
      <c r="F4" s="419"/>
      <c r="G4" s="141"/>
      <c r="H4" s="141"/>
      <c r="R4" s="430">
        <v>6</v>
      </c>
    </row>
    <row customHeight="1" ht="34.5">
      <c r="C5" s="432"/>
      <c r="D5" s="2510"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511"/>
      <c r="F5" s="2511"/>
      <c r="G5" s="2512"/>
      <c r="H5" s="322"/>
      <c r="R5" s="430">
        <v>33</v>
      </c>
    </row>
    <row s="2774" customFormat="1" customHeight="1" ht="18">
      <c r="A6" s="1725"/>
      <c r="B6" s="1216"/>
      <c r="C6" s="432"/>
      <c r="D6" s="2513" t="str">
        <f>IF(org=0,"Не определено",org)</f>
        <v>МУП ЖКХ "Родник"</v>
      </c>
      <c r="E6" s="2514"/>
      <c r="F6" s="2514"/>
      <c r="G6" s="2515"/>
      <c r="H6" s="322"/>
      <c r="J6" s="1680"/>
      <c r="K6" s="1680"/>
      <c r="R6" s="1687">
        <v>17</v>
      </c>
    </row>
    <row customHeight="1" ht="14.699999999999998">
      <c r="C7" s="432"/>
      <c r="D7" s="419"/>
      <c r="E7" s="445"/>
      <c r="F7" s="445"/>
      <c r="G7" s="808"/>
      <c r="H7" s="249"/>
      <c r="R7" s="430">
        <v>14</v>
      </c>
    </row>
    <row customHeight="1" ht="14.699999999999998">
      <c r="C8" s="432"/>
      <c r="D8" s="2265" t="s">
        <v>432</v>
      </c>
      <c r="E8" s="2265"/>
      <c r="F8" s="2265"/>
      <c r="G8" s="2265"/>
      <c r="H8" s="2445" t="s">
        <v>433</v>
      </c>
      <c r="R8" s="430">
        <v>14</v>
      </c>
    </row>
    <row customHeight="1" ht="24">
      <c r="C9" s="432"/>
      <c r="D9" s="442" t="s">
        <v>92</v>
      </c>
      <c r="E9" s="164" t="s">
        <v>434</v>
      </c>
      <c r="F9" s="164" t="s">
        <v>435</v>
      </c>
      <c r="G9" s="164" t="s">
        <v>522</v>
      </c>
      <c r="H9" s="2445"/>
      <c r="R9" s="430">
        <v>23</v>
      </c>
    </row>
    <row customHeight="1" ht="14.699999999999998">
      <c r="A10" s="399"/>
      <c r="C10" s="432"/>
      <c r="D10" s="203" t="s">
        <v>191</v>
      </c>
      <c r="E10" s="194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313"/>
      <c r="G10" s="269"/>
      <c r="H10" s="2225" t="s">
        <v>1294</v>
      </c>
      <c r="R10" s="430">
        <v>14</v>
      </c>
    </row>
    <row customHeight="1" ht="14.699999999999998">
      <c r="A11" s="399"/>
      <c r="C11" s="432"/>
      <c r="D11" s="203" t="s">
        <v>108</v>
      </c>
      <c r="E11" s="194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313"/>
      <c r="G11" s="269"/>
      <c r="H11" s="2226"/>
      <c r="R11" s="430">
        <v>14</v>
      </c>
    </row>
    <row customHeight="1" ht="14.699999999999998">
      <c r="A12" s="158"/>
      <c r="C12" s="443"/>
      <c r="D12" s="203" t="s">
        <v>94</v>
      </c>
      <c r="E12" s="444" t="str">
        <f>"Сведения о планировании закупочных процедур"&amp;IF(TEMPLATE_SPHERE="TKO"," &lt;1&gt;","")</f>
        <v>Сведения о планировании закупочных процедур</v>
      </c>
      <c r="F12" s="313"/>
      <c r="G12" s="269"/>
      <c r="H12" s="222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406"/>
      <c r="K12" s="430"/>
      <c r="R12" s="430">
        <v>14</v>
      </c>
    </row>
    <row customHeight="1" ht="14.699999999999998">
      <c r="A13" s="158"/>
      <c r="C13" s="443"/>
      <c r="D13" s="203" t="s">
        <v>95</v>
      </c>
      <c r="E13" s="444" t="str">
        <f>"Сведения о результатах проведения закупочных процедур"&amp;IF(TEMPLATE_SPHERE="TKO"," &lt;1&gt;","")</f>
        <v>Сведения о результатах проведения закупочных процедур</v>
      </c>
      <c r="F13" s="313"/>
      <c r="G13" s="269"/>
      <c r="H13" s="2226"/>
      <c r="I13" s="406"/>
      <c r="K13" s="430"/>
      <c r="R13" s="430">
        <v>14</v>
      </c>
    </row>
    <row customHeight="1" ht="14.699999999999998">
      <c r="A14" s="399"/>
      <c r="C14" s="432"/>
      <c r="D14" s="403"/>
      <c r="E14" s="451" t="s">
        <v>454</v>
      </c>
      <c r="F14" s="405"/>
      <c r="G14" s="257"/>
      <c r="H14" s="2227"/>
      <c r="R14" s="430">
        <v>14</v>
      </c>
    </row>
    <row s="2774" customFormat="1" customHeight="1" ht="14.699999999999998">
      <c r="A15" s="399"/>
      <c r="B15" s="1216"/>
      <c r="C15" s="432"/>
      <c r="D15" s="452"/>
      <c r="E15" s="1733"/>
      <c r="F15" s="1734"/>
      <c r="G15" s="1735"/>
      <c r="H15" s="1736"/>
      <c r="J15" s="1680"/>
      <c r="K15" s="1680"/>
      <c r="R15" s="1687">
        <v>14</v>
      </c>
    </row>
    <row customHeight="1" ht="14.699999999999998">
      <c r="D16" s="1737"/>
      <c r="E16" s="2441"/>
      <c r="F16" s="2441"/>
      <c r="G16" s="2441"/>
      <c r="H16" s="2441"/>
      <c r="R16" s="430">
        <v>14</v>
      </c>
    </row>
    <row customHeight="1" ht="22.5" hidden="1">
      <c r="A17" s="420" t="s">
        <v>86</v>
      </c>
      <c r="B17" s="202">
        <v>0</v>
      </c>
      <c r="C17" s="400">
        <v>3</v>
      </c>
      <c r="D17" s="430">
        <v>6</v>
      </c>
      <c r="E17" s="430">
        <v>53</v>
      </c>
      <c r="F17" s="430">
        <v>35</v>
      </c>
      <c r="G17" s="430">
        <v>35</v>
      </c>
      <c r="H17" s="430">
        <v>89</v>
      </c>
      <c r="I17" s="430">
        <v>10</v>
      </c>
      <c r="J17" s="406">
        <v>10</v>
      </c>
      <c r="K17" s="406">
        <v>10</v>
      </c>
      <c r="L17" s="430">
        <v>10</v>
      </c>
      <c r="M17" s="430">
        <v>10</v>
      </c>
      <c r="N17" s="430">
        <v>10</v>
      </c>
      <c r="O17" s="430">
        <v>10</v>
      </c>
      <c r="P17" s="430">
        <v>10</v>
      </c>
      <c r="Q17" s="430">
        <v>10</v>
      </c>
      <c r="R17" s="430">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B27CD1-9D7E-A4A7-FB7D-5EFAE4BB18C1}" mc:Ignorable="x14ac xr xr2 xr3">
  <sheetPr>
    <tabColor rgb="FFCCCCFF"/>
  </sheetPr>
  <dimension ref="A1:AR198"/>
  <sheetViews>
    <sheetView topLeftCell="A1" showGridLines="0" zoomScale="90" workbookViewId="0">
      <selection activeCell="N129" sqref="N129:N133"/>
    </sheetView>
  </sheetViews>
  <sheetFormatPr defaultColWidth="9.140625" customHeight="1" defaultRowHeight="11.25"/>
  <cols>
    <col min="1" max="2" style="2933" width="3.7109375" hidden="1" customWidth="1"/>
    <col min="3" max="3" style="2983" width="3.00390625" customWidth="1"/>
    <col min="4" max="4" style="2983" width="6.00390625" customWidth="1"/>
    <col min="5" max="5" style="2983" width="42.00390625" customWidth="1"/>
    <col min="6" max="6" style="2983" width="15.00390625" customWidth="1"/>
    <col min="7" max="7" style="2983" width="42.00390625" customWidth="1"/>
    <col min="8" max="8" style="2983" width="3.00390625" customWidth="1"/>
    <col min="9" max="9" style="2983" width="5.00390625" customWidth="1"/>
    <col min="10" max="10" style="2983" width="47.00390625" customWidth="1"/>
    <col min="11" max="12" style="2983" width="3.00390625" customWidth="1"/>
    <col min="13" max="13" style="2983" width="5.00390625" customWidth="1"/>
    <col min="14" max="14" style="2983" width="28.00390625" customWidth="1"/>
    <col min="15" max="16" style="2983" width="3.00390625" customWidth="1"/>
    <col min="17" max="17" style="2983" width="5.00390625" customWidth="1"/>
    <col min="18" max="18" style="2983" width="34.00390625" customWidth="1"/>
    <col min="19" max="20" style="2983" width="3.7109375" hidden="1" customWidth="1"/>
    <col min="21" max="21" style="2983" width="5.7109375" hidden="1" customWidth="1"/>
    <col min="22" max="22" style="2983" width="34.421875" hidden="1" customWidth="1"/>
    <col min="23" max="23" style="2983" width="30.00390625" customWidth="1"/>
    <col min="24" max="24" style="2983" width="3.00390625" customWidth="1"/>
    <col min="25" max="28" style="3018" width="9.8515625" hidden="1" customWidth="1"/>
    <col min="29" max="29" style="3018" width="27.00390625" hidden="1" customWidth="1"/>
    <col min="30" max="30" style="3018" width="10.57421875" hidden="1" customWidth="1"/>
    <col min="31" max="31" style="3018" width="10.7109375" hidden="1" customWidth="1"/>
    <col min="32" max="32" style="3018" width="10.00390625" hidden="1" customWidth="1"/>
    <col min="33" max="33" style="3018" width="12.8515625" hidden="1" customWidth="1"/>
    <col min="34" max="34" style="3018" width="24.421875" hidden="1" customWidth="1"/>
    <col min="35" max="35" style="3018" width="15.8515625" hidden="1" customWidth="1"/>
    <col min="36" max="36" style="3018" width="19.421875" hidden="1" customWidth="1"/>
    <col min="37" max="37" style="3018" width="11.00390625" hidden="1" customWidth="1"/>
    <col min="38" max="38" style="3018" width="23.57421875" hidden="1" customWidth="1"/>
    <col min="39" max="39" style="3018" width="23.8515625" hidden="1" customWidth="1"/>
    <col min="40" max="40" style="3018" width="25.28125" hidden="1" customWidth="1"/>
    <col min="41" max="41" style="3018" width="16.8515625" hidden="1" customWidth="1"/>
    <col min="42" max="42" style="3018" width="29.57421875" hidden="1" customWidth="1"/>
    <col min="43" max="43" style="3018" width="29.8515625" hidden="1" customWidth="1"/>
    <col min="44" max="44" style="2983" width="9.140625" hidden="1"/>
  </cols>
  <sheetData>
    <row customHeight="1" ht="11.25" hidden="1">
      <c r="A1" s="212"/>
      <c r="AR1" s="160" t="s">
        <v>14</v>
      </c>
    </row>
    <row customHeight="1" ht="11.25" hidden="1">
      <c r="AR2" s="160">
        <v>0</v>
      </c>
    </row>
    <row customHeight="1" ht="11.25" hidden="1">
      <c r="AR3" s="160">
        <v>0</v>
      </c>
    </row>
    <row customHeight="1" ht="3">
      <c r="AR4" s="160">
        <v>3</v>
      </c>
    </row>
    <row s="2956" customFormat="1" customHeight="1" ht="30.45">
      <c r="A5" s="210"/>
      <c r="B5" s="210"/>
      <c r="D5" s="221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14"/>
      <c r="F5" s="2214"/>
      <c r="G5" s="2214"/>
      <c r="H5" s="2214"/>
      <c r="I5" s="2214"/>
      <c r="J5" s="2215"/>
      <c r="K5" s="321"/>
      <c r="L5" s="198"/>
      <c r="M5" s="198"/>
      <c r="N5" s="198"/>
      <c r="O5" s="198"/>
      <c r="P5" s="198"/>
      <c r="Q5" s="198"/>
      <c r="R5" s="198"/>
      <c r="S5" s="346"/>
      <c r="T5" s="346"/>
      <c r="U5" s="346"/>
      <c r="V5" s="346"/>
      <c r="W5" s="198"/>
      <c r="Y5" s="1316"/>
      <c r="Z5" s="1316"/>
      <c r="AA5" s="1316"/>
      <c r="AB5" s="1316"/>
      <c r="AC5" s="1316"/>
      <c r="AD5" s="1316"/>
      <c r="AE5" s="1316"/>
      <c r="AF5" s="1316"/>
      <c r="AG5" s="1316"/>
      <c r="AH5" s="1316"/>
      <c r="AI5" s="1316"/>
      <c r="AJ5" s="1316"/>
      <c r="AK5" s="1316"/>
      <c r="AL5" s="1316"/>
      <c r="AM5" s="1316"/>
      <c r="AN5" s="1316"/>
      <c r="AO5" s="1316"/>
      <c r="AP5" s="1316"/>
      <c r="AQ5" s="1316"/>
      <c r="AR5" s="167">
        <v>29</v>
      </c>
    </row>
    <row s="2956" customFormat="1" customHeight="1" ht="14.699999999999998">
      <c r="A6" s="641"/>
      <c r="B6" s="641"/>
      <c r="C6" s="641"/>
      <c r="D6" s="2219" t="str">
        <f>IF(org=0,"Не определено",org)</f>
        <v>МУП ЖКХ "Родник"</v>
      </c>
      <c r="E6" s="2219"/>
      <c r="F6" s="2219"/>
      <c r="G6" s="2219"/>
      <c r="H6" s="2219"/>
      <c r="I6" s="2219"/>
      <c r="J6" s="2219"/>
      <c r="K6" s="642"/>
      <c r="L6" s="642"/>
      <c r="M6" s="642"/>
      <c r="N6" s="642"/>
      <c r="O6" s="926"/>
      <c r="P6" s="926"/>
      <c r="Q6" s="926"/>
      <c r="R6" s="926"/>
      <c r="S6" s="926"/>
      <c r="T6" s="926"/>
      <c r="U6" s="926"/>
      <c r="V6" s="926"/>
      <c r="W6" s="926"/>
      <c r="X6" s="642"/>
      <c r="Y6" s="1317"/>
      <c r="Z6" s="1317"/>
      <c r="AA6" s="1317"/>
      <c r="AB6" s="1317"/>
      <c r="AC6" s="1317"/>
      <c r="AD6" s="1317"/>
      <c r="AE6" s="1317"/>
      <c r="AF6" s="1317"/>
      <c r="AG6" s="1317"/>
      <c r="AH6" s="1317"/>
      <c r="AI6" s="1317"/>
      <c r="AJ6" s="1317"/>
      <c r="AK6" s="1317"/>
      <c r="AL6" s="1317"/>
      <c r="AM6" s="1317"/>
      <c r="AN6" s="1317"/>
      <c r="AO6" s="1317"/>
      <c r="AP6" s="1317"/>
      <c r="AQ6" s="1317"/>
      <c r="AR6" s="643">
        <v>14</v>
      </c>
    </row>
    <row s="3047" customFormat="1" customHeight="1" ht="11.549999999999999">
      <c r="A7" s="267"/>
      <c r="B7" s="267"/>
      <c r="D7" s="2216"/>
      <c r="E7" s="2217"/>
      <c r="F7" s="2217"/>
      <c r="G7" s="2217"/>
      <c r="H7" s="2217"/>
      <c r="I7" s="2217"/>
      <c r="J7" s="2218"/>
      <c r="S7" s="355"/>
      <c r="T7" s="355"/>
      <c r="U7" s="355"/>
      <c r="V7" s="355"/>
      <c r="Y7" s="1318"/>
      <c r="Z7" s="1318"/>
      <c r="AA7" s="1318"/>
      <c r="AB7" s="1318"/>
      <c r="AC7" s="1318"/>
      <c r="AD7" s="1318"/>
      <c r="AE7" s="1318"/>
      <c r="AF7" s="1318"/>
      <c r="AG7" s="1318"/>
      <c r="AH7" s="1318"/>
      <c r="AI7" s="1318"/>
      <c r="AJ7" s="1318"/>
      <c r="AK7" s="1318"/>
      <c r="AL7" s="1318"/>
      <c r="AM7" s="1318"/>
      <c r="AN7" s="1318"/>
      <c r="AO7" s="1318"/>
      <c r="AP7" s="1318"/>
      <c r="AQ7" s="1318"/>
      <c r="AR7" s="332">
        <v>11</v>
      </c>
    </row>
    <row s="2956" customFormat="1" customHeight="1" ht="1.05">
      <c r="A8" s="210"/>
      <c r="B8" s="210"/>
      <c r="D8" s="268"/>
      <c r="E8" s="268"/>
      <c r="F8" s="268"/>
      <c r="G8" s="268"/>
      <c r="H8" s="268"/>
      <c r="I8" s="268"/>
      <c r="J8" s="268"/>
      <c r="K8" s="268"/>
      <c r="L8" s="268"/>
      <c r="M8" s="268"/>
      <c r="N8" s="268"/>
      <c r="O8" s="268"/>
      <c r="P8" s="268"/>
      <c r="Q8" s="268"/>
      <c r="R8" s="268"/>
      <c r="S8" s="268"/>
      <c r="T8" s="268"/>
      <c r="U8" s="268"/>
      <c r="V8" s="268"/>
      <c r="W8" s="268"/>
      <c r="X8" s="188"/>
      <c r="Y8" s="1316"/>
      <c r="Z8" s="1316"/>
      <c r="AA8" s="1316"/>
      <c r="AB8" s="1316"/>
      <c r="AC8" s="1316"/>
      <c r="AD8" s="1316"/>
      <c r="AE8" s="1316"/>
      <c r="AF8" s="1316"/>
      <c r="AG8" s="1316"/>
      <c r="AH8" s="1316"/>
      <c r="AI8" s="1316"/>
      <c r="AJ8" s="1316"/>
      <c r="AK8" s="1316"/>
      <c r="AL8" s="1316"/>
      <c r="AM8" s="1316"/>
      <c r="AN8" s="1316"/>
      <c r="AO8" s="1316"/>
      <c r="AP8" s="1316"/>
      <c r="AQ8" s="1316"/>
      <c r="AR8" s="167">
        <v>1</v>
      </c>
    </row>
    <row customHeight="1" ht="28.5">
      <c r="D9" s="2183" t="s">
        <v>92</v>
      </c>
      <c r="E9" s="2157" t="s">
        <v>201</v>
      </c>
      <c r="F9" s="2159"/>
      <c r="G9" s="2183" t="s">
        <v>187</v>
      </c>
      <c r="H9" s="2183" t="s">
        <v>92</v>
      </c>
      <c r="I9" s="2183"/>
      <c r="J9" s="2183" t="s">
        <v>202</v>
      </c>
      <c r="K9" s="2211" t="s">
        <v>203</v>
      </c>
      <c r="L9" s="2211"/>
      <c r="M9" s="2211"/>
      <c r="N9" s="2211"/>
      <c r="O9" s="2211" t="s">
        <v>204</v>
      </c>
      <c r="P9" s="2211"/>
      <c r="Q9" s="2211"/>
      <c r="R9" s="2211"/>
      <c r="S9" s="2211" t="s">
        <v>205</v>
      </c>
      <c r="T9" s="2211"/>
      <c r="U9" s="2211"/>
      <c r="V9" s="2211"/>
      <c r="W9" s="2183" t="s">
        <v>206</v>
      </c>
      <c r="AR9" s="160">
        <v>27</v>
      </c>
    </row>
    <row customHeight="1" ht="31.5">
      <c r="D10" s="2183"/>
      <c r="E10" s="1340" t="s">
        <v>93</v>
      </c>
      <c r="F10" s="1340" t="s">
        <v>207</v>
      </c>
      <c r="G10" s="2183"/>
      <c r="H10" s="2183"/>
      <c r="I10" s="2183"/>
      <c r="J10" s="2183"/>
      <c r="K10" s="166" t="s">
        <v>190</v>
      </c>
      <c r="L10" s="2183" t="s">
        <v>92</v>
      </c>
      <c r="M10" s="2183"/>
      <c r="N10" s="166" t="s">
        <v>208</v>
      </c>
      <c r="O10" s="166" t="s">
        <v>190</v>
      </c>
      <c r="P10" s="2183" t="s">
        <v>92</v>
      </c>
      <c r="Q10" s="2183"/>
      <c r="R10" s="166" t="s">
        <v>208</v>
      </c>
      <c r="S10" s="339" t="s">
        <v>190</v>
      </c>
      <c r="T10" s="2183" t="s">
        <v>92</v>
      </c>
      <c r="U10" s="2183"/>
      <c r="V10" s="339" t="s">
        <v>93</v>
      </c>
      <c r="W10" s="2183"/>
      <c r="Z10" s="1315" t="s">
        <v>209</v>
      </c>
      <c r="AA10" s="1315" t="s">
        <v>210</v>
      </c>
      <c r="AB10" s="1315" t="s">
        <v>211</v>
      </c>
      <c r="AC10" s="1315" t="s">
        <v>212</v>
      </c>
      <c r="AD10" s="1315" t="s">
        <v>213</v>
      </c>
      <c r="AE10" s="1315" t="s">
        <v>214</v>
      </c>
      <c r="AF10" s="1315" t="s">
        <v>215</v>
      </c>
      <c r="AG10" s="1315" t="s">
        <v>216</v>
      </c>
      <c r="AH10" s="1315" t="s">
        <v>217</v>
      </c>
      <c r="AI10" s="1315" t="s">
        <v>218</v>
      </c>
      <c r="AJ10" s="1315" t="s">
        <v>219</v>
      </c>
      <c r="AK10" s="1315" t="s">
        <v>220</v>
      </c>
      <c r="AL10" s="1315" t="s">
        <v>221</v>
      </c>
      <c r="AM10" s="1315" t="s">
        <v>222</v>
      </c>
      <c r="AN10" s="1315" t="s">
        <v>223</v>
      </c>
      <c r="AO10" s="1315" t="s">
        <v>224</v>
      </c>
      <c r="AP10" s="1315" t="s">
        <v>225</v>
      </c>
      <c r="AQ10" s="1315" t="s">
        <v>226</v>
      </c>
      <c r="AR10" s="160">
        <v>30</v>
      </c>
    </row>
    <row s="2933" customFormat="1" customHeight="1" ht="12" hidden="1">
      <c r="D11" s="1305" t="s">
        <v>191</v>
      </c>
      <c r="E11" s="1305" t="s">
        <v>108</v>
      </c>
      <c r="F11" s="1305"/>
      <c r="G11" s="1305" t="s">
        <v>94</v>
      </c>
      <c r="H11" s="2212" t="s">
        <v>122</v>
      </c>
      <c r="I11" s="2212"/>
      <c r="J11" s="1305" t="s">
        <v>96</v>
      </c>
      <c r="K11" s="1305" t="s">
        <v>97</v>
      </c>
      <c r="L11" s="2212" t="s">
        <v>135</v>
      </c>
      <c r="M11" s="2212"/>
      <c r="N11" s="1305" t="s">
        <v>140</v>
      </c>
      <c r="O11" s="1305" t="s">
        <v>145</v>
      </c>
      <c r="P11" s="2212" t="s">
        <v>150</v>
      </c>
      <c r="Q11" s="2212"/>
      <c r="R11" s="1305" t="s">
        <v>155</v>
      </c>
      <c r="S11" s="1305" t="s">
        <v>150</v>
      </c>
      <c r="T11" s="2212" t="s">
        <v>155</v>
      </c>
      <c r="U11" s="2212"/>
      <c r="V11" s="1305" t="s">
        <v>160</v>
      </c>
      <c r="W11" s="1305" t="s">
        <v>165</v>
      </c>
      <c r="Y11" s="1315"/>
      <c r="Z11" s="1315"/>
      <c r="AA11" s="1315"/>
      <c r="AB11" s="1315"/>
      <c r="AC11" s="1315"/>
      <c r="AD11" s="1315"/>
      <c r="AE11" s="1315"/>
      <c r="AF11" s="1315"/>
      <c r="AG11" s="1315"/>
      <c r="AH11" s="1315"/>
      <c r="AI11" s="1315"/>
      <c r="AJ11" s="1315"/>
      <c r="AK11" s="1315"/>
      <c r="AL11" s="1315"/>
      <c r="AM11" s="1315"/>
      <c r="AN11" s="1315"/>
      <c r="AO11" s="1315"/>
      <c r="AP11" s="1315"/>
      <c r="AQ11" s="1315"/>
      <c r="AR11" s="333">
        <v>0</v>
      </c>
    </row>
    <row customHeight="1" ht="14.25" hidden="1">
      <c r="C12" s="265"/>
      <c r="D12" s="1338">
        <v>0</v>
      </c>
      <c r="E12" s="306"/>
      <c r="F12" s="306"/>
      <c r="G12" s="306"/>
      <c r="H12" s="307"/>
      <c r="I12" s="307"/>
      <c r="J12" s="214"/>
      <c r="K12" s="168"/>
      <c r="L12" s="214"/>
      <c r="M12" s="214"/>
      <c r="N12" s="308"/>
      <c r="O12" s="168"/>
      <c r="P12" s="214"/>
      <c r="Q12" s="214"/>
      <c r="R12" s="309"/>
      <c r="S12" s="340"/>
      <c r="T12" s="348"/>
      <c r="U12" s="348"/>
      <c r="V12" s="352"/>
      <c r="W12" s="168"/>
      <c r="X12" s="197"/>
      <c r="AR12" s="160">
        <v>0</v>
      </c>
    </row>
    <row s="2983" customFormat="1" customHeight="1" ht="17.25" hidden="1">
      <c r="A13" s="377"/>
      <c r="C13" s="265"/>
      <c r="D13" s="2191">
        <v>1</v>
      </c>
      <c r="E13" s="2199" t="s">
        <v>227</v>
      </c>
      <c r="F13" s="2201" t="s">
        <v>19</v>
      </c>
      <c r="G13" s="2199"/>
      <c r="H13" s="2204"/>
      <c r="I13" s="2206"/>
      <c r="J13" s="2208"/>
      <c r="K13" s="2193"/>
      <c r="L13" s="2193"/>
      <c r="M13" s="2193"/>
      <c r="N13" s="2195"/>
      <c r="O13" s="2193"/>
      <c r="P13" s="2193"/>
      <c r="Q13" s="2193"/>
      <c r="R13" s="2198"/>
      <c r="S13" s="2193"/>
      <c r="T13" s="1476"/>
      <c r="U13" s="1476"/>
      <c r="V13" s="1475"/>
      <c r="W13" s="1352"/>
      <c r="Y13" s="1323"/>
      <c r="Z13" s="1323"/>
      <c r="AA13" s="1323"/>
      <c r="AB13" s="1323"/>
      <c r="AC13" s="1323" t="s">
        <v>228</v>
      </c>
      <c r="AD13" s="1323" t="s">
        <v>229</v>
      </c>
      <c r="AE13" s="1323" t="s">
        <v>230</v>
      </c>
      <c r="AF13" s="1323" t="s">
        <v>231</v>
      </c>
      <c r="AG13" s="1323" t="s">
        <v>232</v>
      </c>
      <c r="AH13" s="132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323" t="str">
        <f>IF($G$13=0,"",$G$13)</f>
        <v/>
      </c>
      <c r="AJ13" s="1323" t="str">
        <f>IF($J$13=0,"",$J$13)</f>
        <v/>
      </c>
      <c r="AK13" s="1323" t="str">
        <f>IF($K$13="нет","без дифференциации",IF($N$13=0,"",$N$13))</f>
        <v/>
      </c>
      <c r="AL13" s="1323" t="str">
        <f>IF($O$13="нет","без дифференциации",IF($R$13=0,"",$R$13))</f>
        <v/>
      </c>
      <c r="AM13" s="1323" t="str">
        <f>IF($S$13="нет","без дифференциации",IF($V$13=0,"",$V$13))</f>
        <v/>
      </c>
      <c r="AN13" s="1323">
        <f>$I$13</f>
        <v>0</v>
      </c>
      <c r="AO13" s="1323" t="str">
        <f>$I$13&amp;"."&amp;$M$13</f>
        <v>.</v>
      </c>
      <c r="AP13" s="1323" t="str">
        <f>$I$13&amp;"."&amp;$M$13&amp;"."&amp;$Q$13</f>
        <v>..</v>
      </c>
      <c r="AQ13" s="1323" t="str">
        <f>$I$13&amp;"."&amp;$M$13&amp;"."&amp;$Q$13&amp;"."&amp;$U$13</f>
        <v>...</v>
      </c>
      <c r="AR13" s="806">
        <v>0</v>
      </c>
    </row>
    <row s="2983" customFormat="1" customHeight="1" ht="17.25" hidden="1">
      <c r="A14" s="377"/>
      <c r="C14" s="376"/>
      <c r="D14" s="2191"/>
      <c r="E14" s="2199"/>
      <c r="F14" s="2202"/>
      <c r="G14" s="2199"/>
      <c r="H14" s="2205"/>
      <c r="I14" s="2207"/>
      <c r="J14" s="2209"/>
      <c r="K14" s="2194"/>
      <c r="L14" s="2194"/>
      <c r="M14" s="2194"/>
      <c r="N14" s="2196"/>
      <c r="O14" s="2194"/>
      <c r="P14" s="2194"/>
      <c r="Q14" s="2194"/>
      <c r="R14" s="2197"/>
      <c r="S14" s="2194"/>
      <c r="T14" s="1353"/>
      <c r="U14" s="1353"/>
      <c r="V14" s="1353"/>
      <c r="W14" s="1354"/>
      <c r="Y14" s="1315"/>
      <c r="Z14" s="1315"/>
      <c r="AA14" s="1315"/>
      <c r="AB14" s="1315"/>
      <c r="AC14" s="1315"/>
      <c r="AD14" s="1315"/>
      <c r="AE14" s="1315"/>
      <c r="AF14" s="1315"/>
      <c r="AG14" s="1315"/>
      <c r="AH14" s="1315"/>
      <c r="AI14" s="1315"/>
      <c r="AJ14" s="1315"/>
      <c r="AK14" s="1315"/>
      <c r="AL14" s="1315"/>
      <c r="AM14" s="1315"/>
      <c r="AN14" s="1315"/>
      <c r="AO14" s="1315"/>
      <c r="AP14" s="1315"/>
      <c r="AQ14" s="1315"/>
      <c r="AR14" s="806">
        <v>0</v>
      </c>
    </row>
    <row s="2983" customFormat="1" customHeight="1" ht="17.25" hidden="1">
      <c r="A15" s="377"/>
      <c r="C15" s="265"/>
      <c r="D15" s="2191"/>
      <c r="E15" s="2199"/>
      <c r="F15" s="2202"/>
      <c r="G15" s="2199"/>
      <c r="H15" s="2205"/>
      <c r="I15" s="2207"/>
      <c r="J15" s="2210"/>
      <c r="K15" s="2194"/>
      <c r="L15" s="2194"/>
      <c r="M15" s="2194"/>
      <c r="N15" s="2197"/>
      <c r="O15" s="2194"/>
      <c r="P15" s="1474"/>
      <c r="Q15" s="1353"/>
      <c r="R15" s="1353"/>
      <c r="S15" s="385"/>
      <c r="T15" s="385"/>
      <c r="U15" s="385"/>
      <c r="V15" s="385"/>
      <c r="W15" s="1354"/>
      <c r="Y15" s="1323"/>
      <c r="Z15" s="1323"/>
      <c r="AA15" s="1323"/>
      <c r="AB15" s="1323"/>
      <c r="AC15" s="1323"/>
      <c r="AD15" s="1323"/>
      <c r="AE15" s="1323"/>
      <c r="AF15" s="1323"/>
      <c r="AG15" s="1323"/>
      <c r="AH15" s="1323"/>
      <c r="AI15" s="1323"/>
      <c r="AJ15" s="1323"/>
      <c r="AK15" s="1323"/>
      <c r="AL15" s="1323"/>
      <c r="AM15" s="1323"/>
      <c r="AN15" s="1323"/>
      <c r="AO15" s="1323"/>
      <c r="AP15" s="1323"/>
      <c r="AQ15" s="1323"/>
      <c r="AR15" s="1473">
        <v>0</v>
      </c>
    </row>
    <row s="2983" customFormat="1" customHeight="1" ht="17.25" hidden="1">
      <c r="A16" s="377"/>
      <c r="C16" s="376"/>
      <c r="D16" s="2191"/>
      <c r="E16" s="2199"/>
      <c r="F16" s="2202"/>
      <c r="G16" s="2199"/>
      <c r="H16" s="2205"/>
      <c r="I16" s="2207"/>
      <c r="J16" s="2210"/>
      <c r="K16" s="2194"/>
      <c r="L16" s="1353"/>
      <c r="M16" s="1353"/>
      <c r="N16" s="1353"/>
      <c r="O16" s="1353"/>
      <c r="P16" s="1353"/>
      <c r="Q16" s="1353"/>
      <c r="R16" s="1353"/>
      <c r="S16" s="385"/>
      <c r="T16" s="385"/>
      <c r="U16" s="385"/>
      <c r="V16" s="385"/>
      <c r="W16" s="1354"/>
      <c r="Y16" s="1315"/>
      <c r="Z16" s="1315"/>
      <c r="AA16" s="1315"/>
      <c r="AB16" s="1315"/>
      <c r="AC16" s="1315"/>
      <c r="AD16" s="1315"/>
      <c r="AE16" s="1315"/>
      <c r="AF16" s="1315"/>
      <c r="AG16" s="1315"/>
      <c r="AH16" s="1315"/>
      <c r="AI16" s="1315"/>
      <c r="AJ16" s="1315"/>
      <c r="AK16" s="1315"/>
      <c r="AL16" s="1315"/>
      <c r="AM16" s="1315"/>
      <c r="AN16" s="1315"/>
      <c r="AO16" s="1315"/>
      <c r="AP16" s="1315"/>
      <c r="AQ16" s="1315"/>
      <c r="AR16" s="1473">
        <v>0</v>
      </c>
    </row>
    <row s="2983" customFormat="1" customHeight="1" ht="17.25" hidden="1">
      <c r="A17" s="377"/>
      <c r="C17" s="376"/>
      <c r="D17" s="2192"/>
      <c r="E17" s="2200"/>
      <c r="F17" s="2203"/>
      <c r="G17" s="2200"/>
      <c r="H17" s="1355"/>
      <c r="I17" s="1356"/>
      <c r="J17" s="1356"/>
      <c r="K17" s="1356"/>
      <c r="L17" s="1356"/>
      <c r="M17" s="1356"/>
      <c r="N17" s="1356"/>
      <c r="O17" s="1356"/>
      <c r="P17" s="1356"/>
      <c r="Q17" s="1356"/>
      <c r="R17" s="1356"/>
      <c r="S17" s="1357"/>
      <c r="T17" s="1357"/>
      <c r="U17" s="1357"/>
      <c r="V17" s="1357"/>
      <c r="W17" s="1358"/>
      <c r="Y17" s="1315"/>
      <c r="Z17" s="1315"/>
      <c r="AA17" s="1315"/>
      <c r="AB17" s="1315"/>
      <c r="AC17" s="1315"/>
      <c r="AD17" s="1315"/>
      <c r="AE17" s="1315"/>
      <c r="AF17" s="1315"/>
      <c r="AG17" s="1315"/>
      <c r="AH17" s="1315"/>
      <c r="AI17" s="1315"/>
      <c r="AJ17" s="1315"/>
      <c r="AK17" s="1315"/>
      <c r="AL17" s="1315"/>
      <c r="AM17" s="1315"/>
      <c r="AN17" s="1315"/>
      <c r="AO17" s="1315"/>
      <c r="AP17" s="1315"/>
      <c r="AQ17" s="1315"/>
      <c r="AR17" s="806">
        <v>0</v>
      </c>
    </row>
    <row s="2983" customFormat="1" customHeight="1" ht="17.25" hidden="1">
      <c r="A18" s="377"/>
      <c r="C18" s="265"/>
      <c r="D18" s="2191">
        <v>2</v>
      </c>
      <c r="E18" s="2220"/>
      <c r="F18" s="2201" t="s">
        <v>19</v>
      </c>
      <c r="G18" s="2199"/>
      <c r="H18" s="2204"/>
      <c r="I18" s="2206"/>
      <c r="J18" s="2208"/>
      <c r="K18" s="2193"/>
      <c r="L18" s="2193"/>
      <c r="M18" s="2193"/>
      <c r="N18" s="2195"/>
      <c r="O18" s="2193"/>
      <c r="P18" s="2193"/>
      <c r="Q18" s="2193"/>
      <c r="R18" s="2198"/>
      <c r="S18" s="2193"/>
      <c r="T18" s="1476"/>
      <c r="U18" s="1476"/>
      <c r="V18" s="1475"/>
      <c r="W18" s="1352"/>
      <c r="X18" s="1323"/>
      <c r="Y18" s="1323"/>
      <c r="Z18" s="1323"/>
      <c r="AA18" s="1323"/>
      <c r="AB18" s="1323"/>
      <c r="AC18" s="1323" t="s">
        <v>233</v>
      </c>
      <c r="AD18" s="1323" t="s">
        <v>234</v>
      </c>
      <c r="AE18" s="1323" t="s">
        <v>235</v>
      </c>
      <c r="AF18" s="1323" t="s">
        <v>236</v>
      </c>
      <c r="AG18" s="1323" t="s">
        <v>237</v>
      </c>
      <c r="AH18" s="1323" t="str">
        <f>IF($E$18=0,"",$E$18)</f>
        <v/>
      </c>
      <c r="AI18" s="1323" t="str">
        <f>IF($G$18=0,"",$G$18)</f>
        <v/>
      </c>
      <c r="AJ18" s="1323" t="str">
        <f>IF($J$18=0,"",$J$18)</f>
        <v/>
      </c>
      <c r="AK18" s="1323" t="str">
        <f>IF($K$18="нет","без дифференциации",IF($N$18=0,"",$N$18))</f>
        <v/>
      </c>
      <c r="AL18" s="1323" t="str">
        <f>IF($O$18="нет","без дифференциации",IF($R$18=0,"",$R$18))</f>
        <v/>
      </c>
      <c r="AM18" s="1323" t="str">
        <f>IF($S$18="нет","без дифференциации",IF($V$18=0,"",$V$18))</f>
        <v/>
      </c>
      <c r="AN18" s="1828">
        <f>$I$18</f>
        <v>0</v>
      </c>
      <c r="AO18" s="1323" t="str">
        <f>$I$18&amp;"."&amp;$M$18</f>
        <v>.</v>
      </c>
      <c r="AP18" s="1315" t="str">
        <f>$I$18&amp;"."&amp;$M$18&amp;"."&amp;$Q$18</f>
        <v>..</v>
      </c>
      <c r="AQ18" s="1315" t="str">
        <f>$I$18&amp;"."&amp;$M$18&amp;"."&amp;$Q$18&amp;"."&amp;$U$18</f>
        <v>...</v>
      </c>
      <c r="AR18" s="1339">
        <v>0</v>
      </c>
    </row>
    <row s="2983" customFormat="1" customHeight="1" ht="17.25" hidden="1">
      <c r="A19" s="377"/>
      <c r="C19" s="376"/>
      <c r="D19" s="2191"/>
      <c r="E19" s="2220"/>
      <c r="F19" s="2202"/>
      <c r="G19" s="2199"/>
      <c r="H19" s="2205"/>
      <c r="I19" s="2207"/>
      <c r="J19" s="2209"/>
      <c r="K19" s="2194"/>
      <c r="L19" s="2194"/>
      <c r="M19" s="2194"/>
      <c r="N19" s="2196"/>
      <c r="O19" s="2194"/>
      <c r="P19" s="2194"/>
      <c r="Q19" s="2194"/>
      <c r="R19" s="2197"/>
      <c r="S19" s="2194"/>
      <c r="T19" s="1353"/>
      <c r="U19" s="1353"/>
      <c r="V19" s="1353"/>
      <c r="W19" s="1354"/>
      <c r="X19" s="1315"/>
      <c r="Y19" s="1315"/>
      <c r="Z19" s="1315"/>
      <c r="AA19" s="1315"/>
      <c r="AB19" s="1315"/>
      <c r="AC19" s="1315"/>
      <c r="AD19" s="1315"/>
      <c r="AE19" s="1315"/>
      <c r="AF19" s="1315"/>
      <c r="AG19" s="1315"/>
      <c r="AH19" s="1315"/>
      <c r="AI19" s="1315"/>
      <c r="AJ19" s="1315"/>
      <c r="AK19" s="1315"/>
      <c r="AL19" s="1315"/>
      <c r="AM19" s="1315"/>
      <c r="AN19" s="1315"/>
      <c r="AO19" s="1315"/>
      <c r="AP19" s="1315"/>
      <c r="AQ19" s="1315"/>
      <c r="AR19" s="1339">
        <v>0</v>
      </c>
    </row>
    <row s="2983" customFormat="1" customHeight="1" ht="17.25" hidden="1">
      <c r="A20" s="377"/>
      <c r="C20" s="376"/>
      <c r="D20" s="2192"/>
      <c r="E20" s="2221"/>
      <c r="F20" s="2202"/>
      <c r="G20" s="2200"/>
      <c r="H20" s="2205"/>
      <c r="I20" s="2207"/>
      <c r="J20" s="2210"/>
      <c r="K20" s="2194"/>
      <c r="L20" s="2194"/>
      <c r="M20" s="2194"/>
      <c r="N20" s="2197"/>
      <c r="O20" s="2194"/>
      <c r="P20" s="1474"/>
      <c r="Q20" s="1353"/>
      <c r="R20" s="1353"/>
      <c r="S20" s="385"/>
      <c r="T20" s="385"/>
      <c r="U20" s="385"/>
      <c r="V20" s="385"/>
      <c r="W20" s="1354"/>
      <c r="X20" s="1315"/>
      <c r="Y20" s="1315"/>
      <c r="Z20" s="1315"/>
      <c r="AA20" s="1315"/>
      <c r="AB20" s="1315"/>
      <c r="AC20" s="1315"/>
      <c r="AD20" s="1315"/>
      <c r="AE20" s="1315"/>
      <c r="AF20" s="1315"/>
      <c r="AG20" s="1315"/>
      <c r="AH20" s="1315"/>
      <c r="AI20" s="1315"/>
      <c r="AJ20" s="1315"/>
      <c r="AK20" s="1315"/>
      <c r="AL20" s="1315"/>
      <c r="AM20" s="1315"/>
      <c r="AN20" s="1315"/>
      <c r="AO20" s="1315"/>
      <c r="AP20" s="1315"/>
      <c r="AQ20" s="1315"/>
      <c r="AR20" s="1339">
        <v>0</v>
      </c>
    </row>
    <row s="2983" customFormat="1" customHeight="1" ht="17.25" hidden="1">
      <c r="A21" s="377"/>
      <c r="C21" s="376"/>
      <c r="D21" s="2192"/>
      <c r="E21" s="2221"/>
      <c r="F21" s="2202"/>
      <c r="G21" s="2200"/>
      <c r="H21" s="2205"/>
      <c r="I21" s="2207"/>
      <c r="J21" s="2210"/>
      <c r="K21" s="2194"/>
      <c r="L21" s="1353"/>
      <c r="M21" s="1353"/>
      <c r="N21" s="1353"/>
      <c r="O21" s="1353"/>
      <c r="P21" s="1353"/>
      <c r="Q21" s="1353"/>
      <c r="R21" s="1353"/>
      <c r="S21" s="385"/>
      <c r="T21" s="385"/>
      <c r="U21" s="385"/>
      <c r="V21" s="385"/>
      <c r="W21" s="1354"/>
      <c r="X21" s="1315"/>
      <c r="Y21" s="1315"/>
      <c r="Z21" s="1315"/>
      <c r="AA21" s="1315"/>
      <c r="AB21" s="1315"/>
      <c r="AC21" s="1315"/>
      <c r="AD21" s="1315"/>
      <c r="AE21" s="1315"/>
      <c r="AF21" s="1315"/>
      <c r="AG21" s="1315"/>
      <c r="AH21" s="1315"/>
      <c r="AI21" s="1315"/>
      <c r="AJ21" s="1315"/>
      <c r="AK21" s="1315"/>
      <c r="AL21" s="1315"/>
      <c r="AM21" s="1315"/>
      <c r="AN21" s="1315"/>
      <c r="AO21" s="1315"/>
      <c r="AP21" s="1315"/>
      <c r="AQ21" s="1315"/>
      <c r="AR21" s="1339">
        <v>0</v>
      </c>
    </row>
    <row s="2983" customFormat="1" customHeight="1" ht="17.25" hidden="1">
      <c r="A22" s="377"/>
      <c r="C22" s="376"/>
      <c r="D22" s="2192"/>
      <c r="E22" s="2221"/>
      <c r="F22" s="2203"/>
      <c r="G22" s="2200"/>
      <c r="H22" s="1355"/>
      <c r="I22" s="1356"/>
      <c r="J22" s="1356"/>
      <c r="K22" s="1356"/>
      <c r="L22" s="1356"/>
      <c r="M22" s="1356"/>
      <c r="N22" s="1356"/>
      <c r="O22" s="1356"/>
      <c r="P22" s="1356"/>
      <c r="Q22" s="1356"/>
      <c r="R22" s="1356"/>
      <c r="S22" s="1357"/>
      <c r="T22" s="1357"/>
      <c r="U22" s="1357"/>
      <c r="V22" s="1357"/>
      <c r="W22" s="1358"/>
      <c r="X22" s="1315"/>
      <c r="Y22" s="1315"/>
      <c r="Z22" s="1315"/>
      <c r="AA22" s="1315"/>
      <c r="AB22" s="1315"/>
      <c r="AC22" s="1315"/>
      <c r="AD22" s="1315"/>
      <c r="AE22" s="1315"/>
      <c r="AF22" s="1315"/>
      <c r="AG22" s="1315"/>
      <c r="AH22" s="1315"/>
      <c r="AI22" s="1315"/>
      <c r="AJ22" s="1315"/>
      <c r="AK22" s="1315"/>
      <c r="AL22" s="1315"/>
      <c r="AM22" s="1315"/>
      <c r="AN22" s="1315"/>
      <c r="AO22" s="1315"/>
      <c r="AP22" s="1315"/>
      <c r="AQ22" s="1315"/>
      <c r="AR22" s="1339">
        <v>0</v>
      </c>
    </row>
    <row s="2983" customFormat="1" customHeight="1" ht="17.25" hidden="1">
      <c r="A23" s="377"/>
      <c r="C23" s="265"/>
      <c r="D23" s="2191">
        <v>2</v>
      </c>
      <c r="E23" s="2199" t="s">
        <v>238</v>
      </c>
      <c r="F23" s="2201" t="s">
        <v>19</v>
      </c>
      <c r="G23" s="2199"/>
      <c r="H23" s="2204"/>
      <c r="I23" s="2206"/>
      <c r="J23" s="2208"/>
      <c r="K23" s="2193"/>
      <c r="L23" s="2193"/>
      <c r="M23" s="2193"/>
      <c r="N23" s="2195"/>
      <c r="O23" s="2193"/>
      <c r="P23" s="2193"/>
      <c r="Q23" s="2193"/>
      <c r="R23" s="2198"/>
      <c r="S23" s="2193"/>
      <c r="T23" s="2054"/>
      <c r="U23" s="2054"/>
      <c r="V23" s="2056"/>
      <c r="W23" s="1352"/>
      <c r="X23" s="1323"/>
      <c r="Y23" s="1323"/>
      <c r="Z23" s="1323"/>
      <c r="AA23" s="1323"/>
      <c r="AB23" s="1323"/>
      <c r="AC23" s="1323" t="s">
        <v>233</v>
      </c>
      <c r="AD23" s="1323" t="s">
        <v>234</v>
      </c>
      <c r="AE23" s="1323" t="s">
        <v>235</v>
      </c>
      <c r="AF23" s="1323" t="s">
        <v>236</v>
      </c>
      <c r="AG23" s="1323" t="s">
        <v>237</v>
      </c>
      <c r="AH23" s="1323" t="str">
        <f>IF($E$23=0,"",$E$23)</f>
        <v>Тарифы на тепловую энергию (мощность), поставляемую теплоснабжающими организациями потребителям, другим теплоснабжающим организациям</v>
      </c>
      <c r="AI23" s="1323" t="str">
        <f>IF($G$23=0,"",$G$23)</f>
        <v/>
      </c>
      <c r="AJ23" s="1323" t="str">
        <f>IF($J$23=0,"",$J$23)</f>
        <v/>
      </c>
      <c r="AK23" s="1323" t="str">
        <f>IF($K$23="нет","без дифференциации",IF($N$23=0,"",$N$23))</f>
        <v/>
      </c>
      <c r="AL23" s="1323" t="str">
        <f>IF($O$23="нет","без дифференциации",IF($R$23=0,"",$R$23))</f>
        <v/>
      </c>
      <c r="AM23" s="1323" t="str">
        <f>IF($S$23="нет","без дифференциации",IF($V$23=0,"",$V$23))</f>
        <v/>
      </c>
      <c r="AN23" s="1828">
        <f>$I$23</f>
        <v>0</v>
      </c>
      <c r="AO23" s="1323" t="str">
        <f>$I$23&amp;"."&amp;$M$23</f>
        <v>.</v>
      </c>
      <c r="AP23" s="1322" t="str">
        <f>$I$23&amp;"."&amp;$M$23&amp;"."&amp;$Q$23</f>
        <v>..</v>
      </c>
      <c r="AQ23" s="1322" t="str">
        <f>$I$23&amp;"."&amp;$M$23&amp;"."&amp;$Q$23&amp;"."&amp;$U$23</f>
        <v>...</v>
      </c>
      <c r="AR23" s="1523">
        <v>0</v>
      </c>
    </row>
    <row s="2983" customFormat="1" customHeight="1" ht="17.25" hidden="1">
      <c r="A24" s="377"/>
      <c r="C24" s="376"/>
      <c r="D24" s="2191"/>
      <c r="E24" s="2199"/>
      <c r="F24" s="2202"/>
      <c r="G24" s="2199"/>
      <c r="H24" s="2205"/>
      <c r="I24" s="2207"/>
      <c r="J24" s="2209"/>
      <c r="K24" s="2194"/>
      <c r="L24" s="2194"/>
      <c r="M24" s="2194"/>
      <c r="N24" s="2196"/>
      <c r="O24" s="2194"/>
      <c r="P24" s="2194"/>
      <c r="Q24" s="2194"/>
      <c r="R24" s="2197"/>
      <c r="S24" s="2194"/>
      <c r="T24" s="2059"/>
      <c r="U24" s="2059"/>
      <c r="V24" s="2059"/>
      <c r="W24" s="2060"/>
      <c r="X24" s="1322"/>
      <c r="Y24" s="1322"/>
      <c r="Z24" s="1322"/>
      <c r="AA24" s="1322"/>
      <c r="AB24" s="1322"/>
      <c r="AC24" s="1322"/>
      <c r="AD24" s="1322"/>
      <c r="AE24" s="1322"/>
      <c r="AF24" s="1322"/>
      <c r="AG24" s="1322"/>
      <c r="AH24" s="1322"/>
      <c r="AI24" s="1322"/>
      <c r="AJ24" s="1322"/>
      <c r="AK24" s="1322"/>
      <c r="AL24" s="1322"/>
      <c r="AM24" s="1322"/>
      <c r="AN24" s="1322"/>
      <c r="AO24" s="1322"/>
      <c r="AP24" s="1322"/>
      <c r="AQ24" s="1322"/>
      <c r="AR24" s="1523">
        <v>0</v>
      </c>
    </row>
    <row s="2983" customFormat="1" customHeight="1" ht="17.25" hidden="1">
      <c r="A25" s="377"/>
      <c r="C25" s="376"/>
      <c r="D25" s="2192"/>
      <c r="E25" s="2200"/>
      <c r="F25" s="2202"/>
      <c r="G25" s="2200"/>
      <c r="H25" s="2205"/>
      <c r="I25" s="2207"/>
      <c r="J25" s="2210"/>
      <c r="K25" s="2194"/>
      <c r="L25" s="2194"/>
      <c r="M25" s="2194"/>
      <c r="N25" s="2197"/>
      <c r="O25" s="2194"/>
      <c r="P25" s="2055"/>
      <c r="Q25" s="2059"/>
      <c r="R25" s="2059"/>
      <c r="S25" s="385"/>
      <c r="T25" s="385"/>
      <c r="U25" s="385"/>
      <c r="V25" s="385"/>
      <c r="W25" s="2060"/>
      <c r="X25" s="1322"/>
      <c r="Y25" s="1322"/>
      <c r="Z25" s="1322"/>
      <c r="AA25" s="1322"/>
      <c r="AB25" s="1322"/>
      <c r="AC25" s="1322"/>
      <c r="AD25" s="1322"/>
      <c r="AE25" s="1322"/>
      <c r="AF25" s="1322"/>
      <c r="AG25" s="1322"/>
      <c r="AH25" s="1322"/>
      <c r="AI25" s="1322"/>
      <c r="AJ25" s="1322"/>
      <c r="AK25" s="1322"/>
      <c r="AL25" s="1322"/>
      <c r="AM25" s="1322"/>
      <c r="AN25" s="1322"/>
      <c r="AO25" s="1322"/>
      <c r="AP25" s="1322"/>
      <c r="AQ25" s="1322"/>
      <c r="AR25" s="1523">
        <v>0</v>
      </c>
    </row>
    <row s="2983" customFormat="1" customHeight="1" ht="17.25" hidden="1">
      <c r="A26" s="377"/>
      <c r="C26" s="376"/>
      <c r="D26" s="2192"/>
      <c r="E26" s="2200"/>
      <c r="F26" s="2202"/>
      <c r="G26" s="2200"/>
      <c r="H26" s="2205"/>
      <c r="I26" s="2207"/>
      <c r="J26" s="2210"/>
      <c r="K26" s="2194"/>
      <c r="L26" s="2059"/>
      <c r="M26" s="2059"/>
      <c r="N26" s="2059"/>
      <c r="O26" s="2059"/>
      <c r="P26" s="2059"/>
      <c r="Q26" s="2059"/>
      <c r="R26" s="2059"/>
      <c r="S26" s="385"/>
      <c r="T26" s="385"/>
      <c r="U26" s="385"/>
      <c r="V26" s="385"/>
      <c r="W26" s="2060"/>
      <c r="X26" s="1322"/>
      <c r="Y26" s="1322"/>
      <c r="Z26" s="1322"/>
      <c r="AA26" s="1322"/>
      <c r="AB26" s="1322"/>
      <c r="AC26" s="1322"/>
      <c r="AD26" s="1322"/>
      <c r="AE26" s="1322"/>
      <c r="AF26" s="1322"/>
      <c r="AG26" s="1322"/>
      <c r="AH26" s="1322"/>
      <c r="AI26" s="1322"/>
      <c r="AJ26" s="1322"/>
      <c r="AK26" s="1322"/>
      <c r="AL26" s="1322"/>
      <c r="AM26" s="1322"/>
      <c r="AN26" s="1322"/>
      <c r="AO26" s="1322"/>
      <c r="AP26" s="1322"/>
      <c r="AQ26" s="1322"/>
      <c r="AR26" s="1523">
        <v>0</v>
      </c>
    </row>
    <row s="2983" customFormat="1" customHeight="1" ht="17.25" hidden="1">
      <c r="A27" s="377"/>
      <c r="C27" s="376"/>
      <c r="D27" s="2192"/>
      <c r="E27" s="2200"/>
      <c r="F27" s="2203"/>
      <c r="G27" s="2200"/>
      <c r="H27" s="1355"/>
      <c r="I27" s="2057"/>
      <c r="J27" s="2057"/>
      <c r="K27" s="2057"/>
      <c r="L27" s="2057"/>
      <c r="M27" s="2057"/>
      <c r="N27" s="2057"/>
      <c r="O27" s="2057"/>
      <c r="P27" s="2057"/>
      <c r="Q27" s="2057"/>
      <c r="R27" s="2057"/>
      <c r="S27" s="1357"/>
      <c r="T27" s="1357"/>
      <c r="U27" s="1357"/>
      <c r="V27" s="1357"/>
      <c r="W27" s="2058"/>
      <c r="X27" s="1322"/>
      <c r="Y27" s="1322"/>
      <c r="Z27" s="1322"/>
      <c r="AA27" s="1322"/>
      <c r="AB27" s="1322"/>
      <c r="AC27" s="1322"/>
      <c r="AD27" s="1322"/>
      <c r="AE27" s="1322"/>
      <c r="AF27" s="1322"/>
      <c r="AG27" s="1322"/>
      <c r="AH27" s="1322"/>
      <c r="AI27" s="1322"/>
      <c r="AJ27" s="1322"/>
      <c r="AK27" s="1322"/>
      <c r="AL27" s="1322"/>
      <c r="AM27" s="1322"/>
      <c r="AN27" s="1322"/>
      <c r="AO27" s="1322"/>
      <c r="AP27" s="1322"/>
      <c r="AQ27" s="1322"/>
      <c r="AR27" s="1523">
        <v>0</v>
      </c>
    </row>
    <row s="2983" customFormat="1" customHeight="1" ht="17.25" hidden="1">
      <c r="A28" s="377"/>
      <c r="C28" s="265"/>
      <c r="D28" s="2191">
        <v>3</v>
      </c>
      <c r="E28" s="2199" t="s">
        <v>239</v>
      </c>
      <c r="F28" s="2201" t="s">
        <v>19</v>
      </c>
      <c r="G28" s="2199"/>
      <c r="H28" s="2204"/>
      <c r="I28" s="2206"/>
      <c r="J28" s="2208"/>
      <c r="K28" s="2193"/>
      <c r="L28" s="2193"/>
      <c r="M28" s="2193"/>
      <c r="N28" s="2195"/>
      <c r="O28" s="2193"/>
      <c r="P28" s="2193"/>
      <c r="Q28" s="2193"/>
      <c r="R28" s="2198"/>
      <c r="S28" s="2193"/>
      <c r="T28" s="1476"/>
      <c r="U28" s="1476"/>
      <c r="V28" s="1475"/>
      <c r="W28" s="1352"/>
      <c r="X28" s="1323"/>
      <c r="Y28" s="1323"/>
      <c r="Z28" s="1323"/>
      <c r="AA28" s="1323"/>
      <c r="AB28" s="1323"/>
      <c r="AC28" s="1323" t="s">
        <v>240</v>
      </c>
      <c r="AD28" s="1323" t="s">
        <v>241</v>
      </c>
      <c r="AE28" s="1323" t="s">
        <v>242</v>
      </c>
      <c r="AF28" s="1323" t="s">
        <v>243</v>
      </c>
      <c r="AG28" s="1323" t="s">
        <v>244</v>
      </c>
      <c r="AH28" s="1323" t="str">
        <f>IF($E$28=0,"",$E$28)</f>
        <v>Тарифы на теплоноситель, поставляемый теплоснабжающими организациями потребителям, другим теплоснабжающим организациям</v>
      </c>
      <c r="AI28" s="1323" t="str">
        <f>IF($G$28=0,"",$G$28)</f>
        <v/>
      </c>
      <c r="AJ28" s="1323" t="str">
        <f>IF($J$28=0,"",$J$28)</f>
        <v/>
      </c>
      <c r="AK28" s="1323" t="str">
        <f>IF($K$28="нет","без дифференциации",IF($N$28=0,"",$N$28))</f>
        <v/>
      </c>
      <c r="AL28" s="1323" t="str">
        <f>IF($O$28="нет","без дифференциации",IF($R$28=0,"",$R$28))</f>
        <v/>
      </c>
      <c r="AM28" s="1323" t="str">
        <f>IF($S$28="нет","без дифференциации",IF($V$28=0,"",$V$28))</f>
        <v/>
      </c>
      <c r="AN28" s="1828">
        <f>$I$28</f>
        <v>0</v>
      </c>
      <c r="AO28" s="1323" t="str">
        <f>$I$28&amp;"."&amp;$M$28</f>
        <v>.</v>
      </c>
      <c r="AP28" s="1315" t="str">
        <f>$I$28&amp;"."&amp;$M$28&amp;"."&amp;$Q$28</f>
        <v>..</v>
      </c>
      <c r="AQ28" s="1315" t="str">
        <f>$I$28&amp;"."&amp;$M$28&amp;"."&amp;$Q$28&amp;"."&amp;$U$28</f>
        <v>...</v>
      </c>
      <c r="AR28" s="1339">
        <v>0</v>
      </c>
    </row>
    <row s="2983" customFormat="1" customHeight="1" ht="17.25" hidden="1">
      <c r="A29" s="377"/>
      <c r="C29" s="376"/>
      <c r="D29" s="2191"/>
      <c r="E29" s="2199"/>
      <c r="F29" s="2202"/>
      <c r="G29" s="2199"/>
      <c r="H29" s="2205"/>
      <c r="I29" s="2207"/>
      <c r="J29" s="2209"/>
      <c r="K29" s="2194"/>
      <c r="L29" s="2194"/>
      <c r="M29" s="2194"/>
      <c r="N29" s="2196"/>
      <c r="O29" s="2194"/>
      <c r="P29" s="2194"/>
      <c r="Q29" s="2194"/>
      <c r="R29" s="2197"/>
      <c r="S29" s="2194"/>
      <c r="T29" s="1353"/>
      <c r="U29" s="1353"/>
      <c r="V29" s="1353"/>
      <c r="W29" s="1354"/>
      <c r="X29" s="1315"/>
      <c r="Y29" s="1315"/>
      <c r="Z29" s="1315"/>
      <c r="AA29" s="1315"/>
      <c r="AB29" s="1315"/>
      <c r="AC29" s="1315"/>
      <c r="AD29" s="1315"/>
      <c r="AE29" s="1315"/>
      <c r="AF29" s="1315"/>
      <c r="AG29" s="1315"/>
      <c r="AH29" s="1315"/>
      <c r="AI29" s="1315"/>
      <c r="AJ29" s="1315"/>
      <c r="AK29" s="1315"/>
      <c r="AL29" s="1315"/>
      <c r="AM29" s="1315"/>
      <c r="AN29" s="1315"/>
      <c r="AO29" s="1315"/>
      <c r="AP29" s="1315"/>
      <c r="AQ29" s="1315"/>
      <c r="AR29" s="1339">
        <v>0</v>
      </c>
    </row>
    <row s="2983" customFormat="1" customHeight="1" ht="17.25" hidden="1">
      <c r="A30" s="377"/>
      <c r="C30" s="376"/>
      <c r="D30" s="2192"/>
      <c r="E30" s="2200"/>
      <c r="F30" s="2202"/>
      <c r="G30" s="2200"/>
      <c r="H30" s="2205"/>
      <c r="I30" s="2207"/>
      <c r="J30" s="2210"/>
      <c r="K30" s="2194"/>
      <c r="L30" s="2194"/>
      <c r="M30" s="2194"/>
      <c r="N30" s="2197"/>
      <c r="O30" s="2194"/>
      <c r="P30" s="1474"/>
      <c r="Q30" s="1353"/>
      <c r="R30" s="1353"/>
      <c r="S30" s="385"/>
      <c r="T30" s="385"/>
      <c r="U30" s="385"/>
      <c r="V30" s="385"/>
      <c r="W30" s="1354"/>
      <c r="X30" s="1315"/>
      <c r="Y30" s="1315"/>
      <c r="Z30" s="1315"/>
      <c r="AA30" s="1315"/>
      <c r="AB30" s="1315"/>
      <c r="AC30" s="1315"/>
      <c r="AD30" s="1315"/>
      <c r="AE30" s="1315"/>
      <c r="AF30" s="1315"/>
      <c r="AG30" s="1315"/>
      <c r="AH30" s="1315"/>
      <c r="AI30" s="1315"/>
      <c r="AJ30" s="1315"/>
      <c r="AK30" s="1315"/>
      <c r="AL30" s="1315"/>
      <c r="AM30" s="1315"/>
      <c r="AN30" s="1315"/>
      <c r="AO30" s="1315"/>
      <c r="AP30" s="1315"/>
      <c r="AQ30" s="1315"/>
      <c r="AR30" s="1339">
        <v>0</v>
      </c>
    </row>
    <row s="2983" customFormat="1" customHeight="1" ht="17.25" hidden="1">
      <c r="A31" s="377"/>
      <c r="C31" s="376"/>
      <c r="D31" s="2192"/>
      <c r="E31" s="2200"/>
      <c r="F31" s="2202"/>
      <c r="G31" s="2200"/>
      <c r="H31" s="2205"/>
      <c r="I31" s="2207"/>
      <c r="J31" s="2210"/>
      <c r="K31" s="2194"/>
      <c r="L31" s="1353"/>
      <c r="M31" s="1353"/>
      <c r="N31" s="1353"/>
      <c r="O31" s="1353"/>
      <c r="P31" s="1353"/>
      <c r="Q31" s="1353"/>
      <c r="R31" s="1353"/>
      <c r="S31" s="385"/>
      <c r="T31" s="385"/>
      <c r="U31" s="385"/>
      <c r="V31" s="385"/>
      <c r="W31" s="1354"/>
      <c r="X31" s="1315"/>
      <c r="Y31" s="1315"/>
      <c r="Z31" s="1315"/>
      <c r="AA31" s="1315"/>
      <c r="AB31" s="1315"/>
      <c r="AC31" s="1315"/>
      <c r="AD31" s="1315"/>
      <c r="AE31" s="1315"/>
      <c r="AF31" s="1315"/>
      <c r="AG31" s="1315"/>
      <c r="AH31" s="1315"/>
      <c r="AI31" s="1315"/>
      <c r="AJ31" s="1315"/>
      <c r="AK31" s="1315"/>
      <c r="AL31" s="1315"/>
      <c r="AM31" s="1315"/>
      <c r="AN31" s="1315"/>
      <c r="AO31" s="1315"/>
      <c r="AP31" s="1315"/>
      <c r="AQ31" s="1315"/>
      <c r="AR31" s="1339">
        <v>0</v>
      </c>
    </row>
    <row s="2983" customFormat="1" customHeight="1" ht="17.25" hidden="1">
      <c r="A32" s="377"/>
      <c r="C32" s="376"/>
      <c r="D32" s="2192"/>
      <c r="E32" s="2200"/>
      <c r="F32" s="2203"/>
      <c r="G32" s="2200"/>
      <c r="H32" s="1355"/>
      <c r="I32" s="1356"/>
      <c r="J32" s="1356"/>
      <c r="K32" s="1356"/>
      <c r="L32" s="1356"/>
      <c r="M32" s="1356"/>
      <c r="N32" s="1356"/>
      <c r="O32" s="1356"/>
      <c r="P32" s="1356"/>
      <c r="Q32" s="1356"/>
      <c r="R32" s="1356"/>
      <c r="S32" s="1357"/>
      <c r="T32" s="1357"/>
      <c r="U32" s="1357"/>
      <c r="V32" s="1357"/>
      <c r="W32" s="1358"/>
      <c r="X32" s="1315"/>
      <c r="Y32" s="1315"/>
      <c r="Z32" s="1315"/>
      <c r="AA32" s="1315"/>
      <c r="AB32" s="1315"/>
      <c r="AC32" s="1315"/>
      <c r="AD32" s="1315"/>
      <c r="AE32" s="1315"/>
      <c r="AF32" s="1315"/>
      <c r="AG32" s="1315"/>
      <c r="AH32" s="1315"/>
      <c r="AI32" s="1315"/>
      <c r="AJ32" s="1315"/>
      <c r="AK32" s="1315"/>
      <c r="AL32" s="1315"/>
      <c r="AM32" s="1315"/>
      <c r="AN32" s="1315"/>
      <c r="AO32" s="1315"/>
      <c r="AP32" s="1315"/>
      <c r="AQ32" s="1315"/>
      <c r="AR32" s="1339">
        <v>0</v>
      </c>
    </row>
    <row s="2983" customFormat="1" customHeight="1" ht="17.25" hidden="1">
      <c r="A33" s="377"/>
      <c r="C33" s="265"/>
      <c r="D33" s="2191">
        <v>4</v>
      </c>
      <c r="E33" s="2199" t="s">
        <v>245</v>
      </c>
      <c r="F33" s="2201" t="s">
        <v>19</v>
      </c>
      <c r="G33" s="2199"/>
      <c r="H33" s="2204"/>
      <c r="I33" s="2206"/>
      <c r="J33" s="2208"/>
      <c r="K33" s="2193"/>
      <c r="L33" s="2193"/>
      <c r="M33" s="2193"/>
      <c r="N33" s="2195"/>
      <c r="O33" s="2193"/>
      <c r="P33" s="2193"/>
      <c r="Q33" s="2193"/>
      <c r="R33" s="2198"/>
      <c r="S33" s="2193"/>
      <c r="T33" s="1476"/>
      <c r="U33" s="1476"/>
      <c r="V33" s="1475"/>
      <c r="W33" s="1352"/>
      <c r="X33" s="1323"/>
      <c r="Y33" s="1323"/>
      <c r="Z33" s="1323"/>
      <c r="AA33" s="1323"/>
      <c r="AB33" s="1323"/>
      <c r="AC33" s="1323" t="s">
        <v>246</v>
      </c>
      <c r="AD33" s="1323" t="s">
        <v>247</v>
      </c>
      <c r="AE33" s="1323" t="s">
        <v>248</v>
      </c>
      <c r="AF33" s="1323" t="s">
        <v>249</v>
      </c>
      <c r="AG33" s="1323" t="s">
        <v>250</v>
      </c>
      <c r="AH33" s="132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323" t="str">
        <f>IF($G$33=0,"",$G$33)</f>
        <v/>
      </c>
      <c r="AJ33" s="1323" t="str">
        <f>IF($J$33=0,"",$J$33)</f>
        <v/>
      </c>
      <c r="AK33" s="1323" t="str">
        <f>IF($K$33="нет","без дифференциации",IF($N$33=0,"",$N$33))</f>
        <v/>
      </c>
      <c r="AL33" s="1323" t="str">
        <f>IF($O$33="нет","без дифференциации",IF($R$33=0,"",$R$33))</f>
        <v/>
      </c>
      <c r="AM33" s="1323" t="str">
        <f>IF($S$33="нет","без дифференциации",IF($V$33=0,"",$V$33))</f>
        <v/>
      </c>
      <c r="AN33" s="1828">
        <f>$I$33</f>
        <v>0</v>
      </c>
      <c r="AO33" s="1323" t="str">
        <f>$I$33&amp;"."&amp;$M$33</f>
        <v>.</v>
      </c>
      <c r="AP33" s="1315" t="str">
        <f>$I$33&amp;"."&amp;$M$33&amp;"."&amp;$Q$33</f>
        <v>..</v>
      </c>
      <c r="AQ33" s="1315" t="str">
        <f>$I$33&amp;"."&amp;$M$33&amp;"."&amp;$Q$33&amp;"."&amp;$U$33</f>
        <v>...</v>
      </c>
      <c r="AR33" s="1339">
        <v>0</v>
      </c>
    </row>
    <row s="2983" customFormat="1" customHeight="1" ht="17.25" hidden="1">
      <c r="A34" s="377"/>
      <c r="C34" s="376"/>
      <c r="D34" s="2191"/>
      <c r="E34" s="2199"/>
      <c r="F34" s="2202"/>
      <c r="G34" s="2199"/>
      <c r="H34" s="2205"/>
      <c r="I34" s="2207"/>
      <c r="J34" s="2209"/>
      <c r="K34" s="2194"/>
      <c r="L34" s="2194"/>
      <c r="M34" s="2194"/>
      <c r="N34" s="2196"/>
      <c r="O34" s="2194"/>
      <c r="P34" s="2194"/>
      <c r="Q34" s="2194"/>
      <c r="R34" s="2197"/>
      <c r="S34" s="2194"/>
      <c r="T34" s="1353"/>
      <c r="U34" s="1353"/>
      <c r="V34" s="1353"/>
      <c r="W34" s="1354"/>
      <c r="X34" s="1315"/>
      <c r="Y34" s="1315"/>
      <c r="Z34" s="1315"/>
      <c r="AA34" s="1315"/>
      <c r="AB34" s="1315"/>
      <c r="AC34" s="1315"/>
      <c r="AD34" s="1315"/>
      <c r="AE34" s="1315"/>
      <c r="AF34" s="1315"/>
      <c r="AG34" s="1315"/>
      <c r="AH34" s="1315"/>
      <c r="AI34" s="1315"/>
      <c r="AJ34" s="1315"/>
      <c r="AK34" s="1315"/>
      <c r="AL34" s="1315"/>
      <c r="AM34" s="1315"/>
      <c r="AN34" s="1315"/>
      <c r="AO34" s="1315"/>
      <c r="AP34" s="1315"/>
      <c r="AQ34" s="1315"/>
      <c r="AR34" s="1339">
        <v>0</v>
      </c>
    </row>
    <row s="2983" customFormat="1" customHeight="1" ht="17.25" hidden="1">
      <c r="A35" s="377"/>
      <c r="C35" s="376"/>
      <c r="D35" s="2192"/>
      <c r="E35" s="2200"/>
      <c r="F35" s="2202"/>
      <c r="G35" s="2200"/>
      <c r="H35" s="2205"/>
      <c r="I35" s="2207"/>
      <c r="J35" s="2210"/>
      <c r="K35" s="2194"/>
      <c r="L35" s="2194"/>
      <c r="M35" s="2194"/>
      <c r="N35" s="2197"/>
      <c r="O35" s="2194"/>
      <c r="P35" s="1474"/>
      <c r="Q35" s="1353"/>
      <c r="R35" s="1353"/>
      <c r="S35" s="385"/>
      <c r="T35" s="385"/>
      <c r="U35" s="385"/>
      <c r="V35" s="385"/>
      <c r="W35" s="1354"/>
      <c r="X35" s="1315"/>
      <c r="Y35" s="1315"/>
      <c r="Z35" s="1315"/>
      <c r="AA35" s="1315"/>
      <c r="AB35" s="1315"/>
      <c r="AC35" s="1315"/>
      <c r="AD35" s="1315"/>
      <c r="AE35" s="1315"/>
      <c r="AF35" s="1315"/>
      <c r="AG35" s="1315"/>
      <c r="AH35" s="1315"/>
      <c r="AI35" s="1315"/>
      <c r="AJ35" s="1315"/>
      <c r="AK35" s="1315"/>
      <c r="AL35" s="1315"/>
      <c r="AM35" s="1315"/>
      <c r="AN35" s="1315"/>
      <c r="AO35" s="1315"/>
      <c r="AP35" s="1315"/>
      <c r="AQ35" s="1315"/>
      <c r="AR35" s="1339">
        <v>0</v>
      </c>
    </row>
    <row s="2983" customFormat="1" customHeight="1" ht="17.25" hidden="1">
      <c r="A36" s="377"/>
      <c r="C36" s="376"/>
      <c r="D36" s="2192"/>
      <c r="E36" s="2200"/>
      <c r="F36" s="2202"/>
      <c r="G36" s="2200"/>
      <c r="H36" s="2205"/>
      <c r="I36" s="2207"/>
      <c r="J36" s="2210"/>
      <c r="K36" s="2194"/>
      <c r="L36" s="1353"/>
      <c r="M36" s="1353"/>
      <c r="N36" s="1353"/>
      <c r="O36" s="1353"/>
      <c r="P36" s="1353"/>
      <c r="Q36" s="1353"/>
      <c r="R36" s="1353"/>
      <c r="S36" s="385"/>
      <c r="T36" s="385"/>
      <c r="U36" s="385"/>
      <c r="V36" s="385"/>
      <c r="W36" s="1354"/>
      <c r="X36" s="1315"/>
      <c r="Y36" s="1315"/>
      <c r="Z36" s="1315"/>
      <c r="AA36" s="1315"/>
      <c r="AB36" s="1315"/>
      <c r="AC36" s="1315"/>
      <c r="AD36" s="1315"/>
      <c r="AE36" s="1315"/>
      <c r="AF36" s="1315"/>
      <c r="AG36" s="1315"/>
      <c r="AH36" s="1315"/>
      <c r="AI36" s="1315"/>
      <c r="AJ36" s="1315"/>
      <c r="AK36" s="1315"/>
      <c r="AL36" s="1315"/>
      <c r="AM36" s="1315"/>
      <c r="AN36" s="1315"/>
      <c r="AO36" s="1315"/>
      <c r="AP36" s="1315"/>
      <c r="AQ36" s="1315"/>
      <c r="AR36" s="1339">
        <v>0</v>
      </c>
    </row>
    <row s="2983" customFormat="1" customHeight="1" ht="17.25" hidden="1">
      <c r="A37" s="377"/>
      <c r="C37" s="376"/>
      <c r="D37" s="2192"/>
      <c r="E37" s="2200"/>
      <c r="F37" s="2203"/>
      <c r="G37" s="2200"/>
      <c r="H37" s="1355"/>
      <c r="I37" s="1356"/>
      <c r="J37" s="1356"/>
      <c r="K37" s="1356"/>
      <c r="L37" s="1356"/>
      <c r="M37" s="1356"/>
      <c r="N37" s="1356"/>
      <c r="O37" s="1356"/>
      <c r="P37" s="1356"/>
      <c r="Q37" s="1356"/>
      <c r="R37" s="1356"/>
      <c r="S37" s="1357"/>
      <c r="T37" s="1357"/>
      <c r="U37" s="1357"/>
      <c r="V37" s="1357"/>
      <c r="W37" s="1358"/>
      <c r="X37" s="1315"/>
      <c r="Y37" s="1315"/>
      <c r="Z37" s="1315"/>
      <c r="AA37" s="1315"/>
      <c r="AB37" s="1315"/>
      <c r="AC37" s="1315"/>
      <c r="AD37" s="1315"/>
      <c r="AE37" s="1315"/>
      <c r="AF37" s="1315"/>
      <c r="AG37" s="1315"/>
      <c r="AH37" s="1315"/>
      <c r="AI37" s="1315"/>
      <c r="AJ37" s="1315"/>
      <c r="AK37" s="1315"/>
      <c r="AL37" s="1315"/>
      <c r="AM37" s="1315"/>
      <c r="AN37" s="1315"/>
      <c r="AO37" s="1315"/>
      <c r="AP37" s="1315"/>
      <c r="AQ37" s="1315"/>
      <c r="AR37" s="1339">
        <v>0</v>
      </c>
    </row>
    <row s="2983" customFormat="1" customHeight="1" ht="17.25" hidden="1">
      <c r="A38" s="377"/>
      <c r="C38" s="265"/>
      <c r="D38" s="2191">
        <v>5</v>
      </c>
      <c r="E38" s="2199" t="s">
        <v>251</v>
      </c>
      <c r="F38" s="2201" t="s">
        <v>19</v>
      </c>
      <c r="G38" s="2199"/>
      <c r="H38" s="2204"/>
      <c r="I38" s="2206"/>
      <c r="J38" s="2208"/>
      <c r="K38" s="2193"/>
      <c r="L38" s="2193"/>
      <c r="M38" s="2193"/>
      <c r="N38" s="2195"/>
      <c r="O38" s="2193"/>
      <c r="P38" s="2193"/>
      <c r="Q38" s="2193"/>
      <c r="R38" s="2198"/>
      <c r="S38" s="2193"/>
      <c r="T38" s="1476"/>
      <c r="U38" s="1476"/>
      <c r="V38" s="1475"/>
      <c r="W38" s="1352"/>
      <c r="X38" s="1323"/>
      <c r="Y38" s="1323"/>
      <c r="Z38" s="1323"/>
      <c r="AA38" s="1323"/>
      <c r="AB38" s="1323"/>
      <c r="AC38" s="1323" t="s">
        <v>252</v>
      </c>
      <c r="AD38" s="1323" t="s">
        <v>253</v>
      </c>
      <c r="AE38" s="1323" t="s">
        <v>254</v>
      </c>
      <c r="AF38" s="1323" t="s">
        <v>255</v>
      </c>
      <c r="AG38" s="1323" t="s">
        <v>256</v>
      </c>
      <c r="AH38" s="1323" t="str">
        <f>IF($E$38=0,"",$E$38)</f>
        <v>Тарифы на услуги по передаче тепловой энергии</v>
      </c>
      <c r="AI38" s="1323" t="str">
        <f>IF($G$38=0,"",$G$38)</f>
        <v/>
      </c>
      <c r="AJ38" s="1323" t="str">
        <f>IF($J$38=0,"",$J$38)</f>
        <v/>
      </c>
      <c r="AK38" s="1323" t="str">
        <f>IF($K$38="нет","без дифференциации",IF($N$38=0,"",$N$38))</f>
        <v/>
      </c>
      <c r="AL38" s="1323" t="str">
        <f>IF($O$38="нет","без дифференциации",IF($R$38=0,"",$R$38))</f>
        <v/>
      </c>
      <c r="AM38" s="1323" t="str">
        <f>IF($S$38="нет","без дифференциации",IF($V$38=0,"",$V$38))</f>
        <v/>
      </c>
      <c r="AN38" s="1828">
        <f>$I$38</f>
        <v>0</v>
      </c>
      <c r="AO38" s="1323" t="str">
        <f>$I$38&amp;"."&amp;$M$38</f>
        <v>.</v>
      </c>
      <c r="AP38" s="1315" t="str">
        <f>$I$38&amp;"."&amp;$M$38&amp;"."&amp;$Q$38</f>
        <v>..</v>
      </c>
      <c r="AQ38" s="1315" t="str">
        <f>$I$38&amp;"."&amp;$M$38&amp;"."&amp;$Q$38&amp;"."&amp;$U$38</f>
        <v>...</v>
      </c>
      <c r="AR38" s="1339">
        <v>0</v>
      </c>
    </row>
    <row s="2983" customFormat="1" customHeight="1" ht="17.25" hidden="1">
      <c r="A39" s="377"/>
      <c r="C39" s="376"/>
      <c r="D39" s="2191"/>
      <c r="E39" s="2199"/>
      <c r="F39" s="2202"/>
      <c r="G39" s="2199"/>
      <c r="H39" s="2205"/>
      <c r="I39" s="2207"/>
      <c r="J39" s="2209"/>
      <c r="K39" s="2194"/>
      <c r="L39" s="2194"/>
      <c r="M39" s="2194"/>
      <c r="N39" s="2196"/>
      <c r="O39" s="2194"/>
      <c r="P39" s="2194"/>
      <c r="Q39" s="2194"/>
      <c r="R39" s="2197"/>
      <c r="S39" s="2194"/>
      <c r="T39" s="1353"/>
      <c r="U39" s="1353"/>
      <c r="V39" s="1353"/>
      <c r="W39" s="1354"/>
      <c r="X39" s="1315"/>
      <c r="Y39" s="1315"/>
      <c r="Z39" s="1315"/>
      <c r="AA39" s="1315"/>
      <c r="AB39" s="1315"/>
      <c r="AC39" s="1315"/>
      <c r="AD39" s="1315"/>
      <c r="AE39" s="1315"/>
      <c r="AF39" s="1315"/>
      <c r="AG39" s="1315"/>
      <c r="AH39" s="1315"/>
      <c r="AI39" s="1315"/>
      <c r="AJ39" s="1315"/>
      <c r="AK39" s="1315"/>
      <c r="AL39" s="1315"/>
      <c r="AM39" s="1315"/>
      <c r="AN39" s="1315"/>
      <c r="AO39" s="1315"/>
      <c r="AP39" s="1315"/>
      <c r="AQ39" s="1315"/>
      <c r="AR39" s="1339">
        <v>0</v>
      </c>
    </row>
    <row s="2983" customFormat="1" customHeight="1" ht="17.25" hidden="1">
      <c r="A40" s="377"/>
      <c r="C40" s="376"/>
      <c r="D40" s="2192"/>
      <c r="E40" s="2200"/>
      <c r="F40" s="2202"/>
      <c r="G40" s="2200"/>
      <c r="H40" s="2205"/>
      <c r="I40" s="2207"/>
      <c r="J40" s="2210"/>
      <c r="K40" s="2194"/>
      <c r="L40" s="2194"/>
      <c r="M40" s="2194"/>
      <c r="N40" s="2197"/>
      <c r="O40" s="2194"/>
      <c r="P40" s="1474"/>
      <c r="Q40" s="1353"/>
      <c r="R40" s="1353"/>
      <c r="S40" s="385"/>
      <c r="T40" s="385"/>
      <c r="U40" s="385"/>
      <c r="V40" s="385"/>
      <c r="W40" s="1354"/>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39">
        <v>0</v>
      </c>
    </row>
    <row s="2983" customFormat="1" customHeight="1" ht="17.25" hidden="1">
      <c r="A41" s="377"/>
      <c r="C41" s="376"/>
      <c r="D41" s="2192"/>
      <c r="E41" s="2200"/>
      <c r="F41" s="2202"/>
      <c r="G41" s="2200"/>
      <c r="H41" s="2205"/>
      <c r="I41" s="2207"/>
      <c r="J41" s="2210"/>
      <c r="K41" s="2194"/>
      <c r="L41" s="1353"/>
      <c r="M41" s="1353"/>
      <c r="N41" s="1353"/>
      <c r="O41" s="1353"/>
      <c r="P41" s="1353"/>
      <c r="Q41" s="1353"/>
      <c r="R41" s="1353"/>
      <c r="S41" s="385"/>
      <c r="T41" s="385"/>
      <c r="U41" s="385"/>
      <c r="V41" s="385"/>
      <c r="W41" s="1354"/>
      <c r="X41" s="1315"/>
      <c r="Y41" s="1315"/>
      <c r="Z41" s="1315"/>
      <c r="AA41" s="1315"/>
      <c r="AB41" s="1315"/>
      <c r="AC41" s="1315"/>
      <c r="AD41" s="1315"/>
      <c r="AE41" s="1315"/>
      <c r="AF41" s="1315"/>
      <c r="AG41" s="1315"/>
      <c r="AH41" s="1315"/>
      <c r="AI41" s="1315"/>
      <c r="AJ41" s="1315"/>
      <c r="AK41" s="1315"/>
      <c r="AL41" s="1315"/>
      <c r="AM41" s="1315"/>
      <c r="AN41" s="1315"/>
      <c r="AO41" s="1315"/>
      <c r="AP41" s="1315"/>
      <c r="AQ41" s="1315"/>
      <c r="AR41" s="1339">
        <v>0</v>
      </c>
    </row>
    <row s="2983" customFormat="1" customHeight="1" ht="17.25" hidden="1">
      <c r="A42" s="377"/>
      <c r="C42" s="376"/>
      <c r="D42" s="2192"/>
      <c r="E42" s="2200"/>
      <c r="F42" s="2203"/>
      <c r="G42" s="2200"/>
      <c r="H42" s="1355"/>
      <c r="I42" s="1356"/>
      <c r="J42" s="1356"/>
      <c r="K42" s="1356"/>
      <c r="L42" s="1356"/>
      <c r="M42" s="1356"/>
      <c r="N42" s="1356"/>
      <c r="O42" s="1356"/>
      <c r="P42" s="1356"/>
      <c r="Q42" s="1356"/>
      <c r="R42" s="1356"/>
      <c r="S42" s="1357"/>
      <c r="T42" s="1357"/>
      <c r="U42" s="1357"/>
      <c r="V42" s="1357"/>
      <c r="W42" s="1358"/>
      <c r="X42" s="1315"/>
      <c r="Y42" s="1315"/>
      <c r="Z42" s="1315"/>
      <c r="AA42" s="1315"/>
      <c r="AB42" s="1315"/>
      <c r="AC42" s="1315"/>
      <c r="AD42" s="1315"/>
      <c r="AE42" s="1315"/>
      <c r="AF42" s="1315"/>
      <c r="AG42" s="1315"/>
      <c r="AH42" s="1315"/>
      <c r="AI42" s="1315"/>
      <c r="AJ42" s="1315"/>
      <c r="AK42" s="1315"/>
      <c r="AL42" s="1315"/>
      <c r="AM42" s="1315"/>
      <c r="AN42" s="1315"/>
      <c r="AO42" s="1315"/>
      <c r="AP42" s="1315"/>
      <c r="AQ42" s="1315"/>
      <c r="AR42" s="1339">
        <v>0</v>
      </c>
    </row>
    <row s="2983" customFormat="1" customHeight="1" ht="17.25" hidden="1">
      <c r="A43" s="377"/>
      <c r="C43" s="265"/>
      <c r="D43" s="2191">
        <v>6</v>
      </c>
      <c r="E43" s="2199" t="s">
        <v>257</v>
      </c>
      <c r="F43" s="2201" t="s">
        <v>19</v>
      </c>
      <c r="G43" s="2199"/>
      <c r="H43" s="2204"/>
      <c r="I43" s="2206"/>
      <c r="J43" s="2208"/>
      <c r="K43" s="2193"/>
      <c r="L43" s="2193"/>
      <c r="M43" s="2193"/>
      <c r="N43" s="2195"/>
      <c r="O43" s="2193"/>
      <c r="P43" s="2193"/>
      <c r="Q43" s="2193"/>
      <c r="R43" s="2198"/>
      <c r="S43" s="2193"/>
      <c r="T43" s="1476"/>
      <c r="U43" s="1476"/>
      <c r="V43" s="1475"/>
      <c r="W43" s="1352"/>
      <c r="X43" s="1323"/>
      <c r="Y43" s="1323"/>
      <c r="Z43" s="1323"/>
      <c r="AA43" s="1323"/>
      <c r="AB43" s="1323"/>
      <c r="AC43" s="1323" t="s">
        <v>258</v>
      </c>
      <c r="AD43" s="1323" t="s">
        <v>259</v>
      </c>
      <c r="AE43" s="1323" t="s">
        <v>260</v>
      </c>
      <c r="AF43" s="1323" t="s">
        <v>261</v>
      </c>
      <c r="AG43" s="1323" t="s">
        <v>262</v>
      </c>
      <c r="AH43" s="1323" t="str">
        <f>IF($E$43=0,"",$E$43)</f>
        <v>Тарифы на услуги по передаче теплоносителя</v>
      </c>
      <c r="AI43" s="1323" t="str">
        <f>IF($G$43=0,"",$G$43)</f>
        <v/>
      </c>
      <c r="AJ43" s="1323" t="str">
        <f>IF($J$43=0,"",$J$43)</f>
        <v/>
      </c>
      <c r="AK43" s="1323" t="str">
        <f>IF($K$43="нет","без дифференциации",IF($N$43=0,"",$N$43))</f>
        <v/>
      </c>
      <c r="AL43" s="1323" t="str">
        <f>IF($O$43="нет","без дифференциации",IF($R$43=0,"",$R$43))</f>
        <v/>
      </c>
      <c r="AM43" s="1323" t="str">
        <f>IF($S$43="нет","без дифференциации",IF($V$43=0,"",$V$43))</f>
        <v/>
      </c>
      <c r="AN43" s="1828">
        <f>$I$43</f>
        <v>0</v>
      </c>
      <c r="AO43" s="1323" t="str">
        <f>$I$43&amp;"."&amp;$M$43</f>
        <v>.</v>
      </c>
      <c r="AP43" s="1315" t="str">
        <f>$I$43&amp;"."&amp;$M$43&amp;"."&amp;$Q$43</f>
        <v>..</v>
      </c>
      <c r="AQ43" s="1315" t="str">
        <f>$I$43&amp;"."&amp;$M$43&amp;"."&amp;$Q$43&amp;"."&amp;$U$43</f>
        <v>...</v>
      </c>
      <c r="AR43" s="1339">
        <v>0</v>
      </c>
    </row>
    <row s="2983" customFormat="1" customHeight="1" ht="17.25" hidden="1">
      <c r="A44" s="377"/>
      <c r="C44" s="376"/>
      <c r="D44" s="2191"/>
      <c r="E44" s="2199"/>
      <c r="F44" s="2202"/>
      <c r="G44" s="2199"/>
      <c r="H44" s="2205"/>
      <c r="I44" s="2207"/>
      <c r="J44" s="2209"/>
      <c r="K44" s="2194"/>
      <c r="L44" s="2194"/>
      <c r="M44" s="2194"/>
      <c r="N44" s="2196"/>
      <c r="O44" s="2194"/>
      <c r="P44" s="2194"/>
      <c r="Q44" s="2194"/>
      <c r="R44" s="2197"/>
      <c r="S44" s="2194"/>
      <c r="T44" s="1353"/>
      <c r="U44" s="1353"/>
      <c r="V44" s="1353"/>
      <c r="W44" s="1354"/>
      <c r="X44" s="1315"/>
      <c r="Y44" s="1315"/>
      <c r="Z44" s="1315"/>
      <c r="AA44" s="1315"/>
      <c r="AB44" s="1315"/>
      <c r="AC44" s="1315"/>
      <c r="AD44" s="1315"/>
      <c r="AE44" s="1315"/>
      <c r="AF44" s="1315"/>
      <c r="AG44" s="1315"/>
      <c r="AH44" s="1315"/>
      <c r="AI44" s="1315"/>
      <c r="AJ44" s="1315"/>
      <c r="AK44" s="1315"/>
      <c r="AL44" s="1315"/>
      <c r="AM44" s="1315"/>
      <c r="AN44" s="1315"/>
      <c r="AO44" s="1315"/>
      <c r="AP44" s="1315"/>
      <c r="AQ44" s="1315"/>
      <c r="AR44" s="1339">
        <v>0</v>
      </c>
    </row>
    <row s="2983" customFormat="1" customHeight="1" ht="17.25" hidden="1">
      <c r="A45" s="377"/>
      <c r="C45" s="376"/>
      <c r="D45" s="2192"/>
      <c r="E45" s="2200"/>
      <c r="F45" s="2202"/>
      <c r="G45" s="2200"/>
      <c r="H45" s="2205"/>
      <c r="I45" s="2207"/>
      <c r="J45" s="2210"/>
      <c r="K45" s="2194"/>
      <c r="L45" s="2194"/>
      <c r="M45" s="2194"/>
      <c r="N45" s="2197"/>
      <c r="O45" s="2194"/>
      <c r="P45" s="1474"/>
      <c r="Q45" s="1353"/>
      <c r="R45" s="1353"/>
      <c r="S45" s="385"/>
      <c r="T45" s="385"/>
      <c r="U45" s="385"/>
      <c r="V45" s="385"/>
      <c r="W45" s="1354"/>
      <c r="X45" s="1315"/>
      <c r="Y45" s="1315"/>
      <c r="Z45" s="1315"/>
      <c r="AA45" s="1315"/>
      <c r="AB45" s="1315"/>
      <c r="AC45" s="1315"/>
      <c r="AD45" s="1315"/>
      <c r="AE45" s="1315"/>
      <c r="AF45" s="1315"/>
      <c r="AG45" s="1315"/>
      <c r="AH45" s="1315"/>
      <c r="AI45" s="1315"/>
      <c r="AJ45" s="1315"/>
      <c r="AK45" s="1315"/>
      <c r="AL45" s="1315"/>
      <c r="AM45" s="1315"/>
      <c r="AN45" s="1315"/>
      <c r="AO45" s="1315"/>
      <c r="AP45" s="1315"/>
      <c r="AQ45" s="1315"/>
      <c r="AR45" s="1339">
        <v>0</v>
      </c>
    </row>
    <row s="2983" customFormat="1" customHeight="1" ht="17.25" hidden="1">
      <c r="A46" s="377"/>
      <c r="C46" s="265"/>
      <c r="D46" s="2192"/>
      <c r="E46" s="2200"/>
      <c r="F46" s="2202"/>
      <c r="G46" s="2200"/>
      <c r="H46" s="2205"/>
      <c r="I46" s="2207"/>
      <c r="J46" s="2210"/>
      <c r="K46" s="2194"/>
      <c r="L46" s="1353"/>
      <c r="M46" s="1353"/>
      <c r="N46" s="1353"/>
      <c r="O46" s="1353"/>
      <c r="P46" s="1353"/>
      <c r="Q46" s="1353"/>
      <c r="R46" s="1353"/>
      <c r="S46" s="385"/>
      <c r="T46" s="385"/>
      <c r="U46" s="385"/>
      <c r="V46" s="385"/>
      <c r="W46" s="1354"/>
      <c r="Y46" s="1323"/>
      <c r="Z46" s="1323"/>
      <c r="AA46" s="1323"/>
      <c r="AB46" s="1323"/>
      <c r="AC46" s="1323"/>
      <c r="AD46" s="1323"/>
      <c r="AE46" s="1323"/>
      <c r="AF46" s="1323"/>
      <c r="AG46" s="1323"/>
      <c r="AH46" s="1323"/>
      <c r="AI46" s="1323"/>
      <c r="AJ46" s="1323"/>
      <c r="AK46" s="1323"/>
      <c r="AL46" s="1323"/>
      <c r="AM46" s="1323"/>
      <c r="AN46" s="1323"/>
      <c r="AO46" s="1323"/>
      <c r="AP46" s="1323"/>
      <c r="AQ46" s="1323"/>
      <c r="AR46" s="1382">
        <v>0</v>
      </c>
    </row>
    <row s="2983" customFormat="1" customHeight="1" ht="17.25" hidden="1">
      <c r="A47" s="377"/>
      <c r="C47" s="376"/>
      <c r="D47" s="2192"/>
      <c r="E47" s="2200"/>
      <c r="F47" s="2203"/>
      <c r="G47" s="2200"/>
      <c r="H47" s="1355"/>
      <c r="I47" s="1356"/>
      <c r="J47" s="1356"/>
      <c r="K47" s="1356"/>
      <c r="L47" s="1356"/>
      <c r="M47" s="1356"/>
      <c r="N47" s="1356"/>
      <c r="O47" s="1356"/>
      <c r="P47" s="1356"/>
      <c r="Q47" s="1356"/>
      <c r="R47" s="1356"/>
      <c r="S47" s="1357"/>
      <c r="T47" s="1357"/>
      <c r="U47" s="1357"/>
      <c r="V47" s="1357"/>
      <c r="W47" s="1358"/>
      <c r="X47" s="1315"/>
      <c r="Y47" s="1315"/>
      <c r="Z47" s="1315"/>
      <c r="AA47" s="1315"/>
      <c r="AB47" s="1315"/>
      <c r="AC47" s="1315"/>
      <c r="AD47" s="1315"/>
      <c r="AE47" s="1315"/>
      <c r="AF47" s="1315"/>
      <c r="AG47" s="1315"/>
      <c r="AH47" s="1315"/>
      <c r="AI47" s="1315"/>
      <c r="AJ47" s="1315"/>
      <c r="AK47" s="1315"/>
      <c r="AL47" s="1315"/>
      <c r="AM47" s="1315"/>
      <c r="AN47" s="1315"/>
      <c r="AO47" s="1315"/>
      <c r="AP47" s="1315"/>
      <c r="AQ47" s="1315"/>
      <c r="AR47" s="1339">
        <v>0</v>
      </c>
    </row>
    <row s="2983" customFormat="1" customHeight="1" ht="17.25" hidden="1">
      <c r="A48" s="377"/>
      <c r="C48" s="265"/>
      <c r="D48" s="2222">
        <v>7</v>
      </c>
      <c r="E48" s="2225" t="s">
        <v>263</v>
      </c>
      <c r="F48" s="2201" t="s">
        <v>19</v>
      </c>
      <c r="G48" s="2225"/>
      <c r="H48" s="2204"/>
      <c r="I48" s="2206"/>
      <c r="J48" s="2208"/>
      <c r="K48" s="2193"/>
      <c r="L48" s="2193"/>
      <c r="M48" s="2193"/>
      <c r="N48" s="2195"/>
      <c r="O48" s="2193"/>
      <c r="P48" s="2193"/>
      <c r="Q48" s="2193"/>
      <c r="R48" s="2198"/>
      <c r="S48" s="2193"/>
      <c r="T48" s="1476"/>
      <c r="U48" s="1476"/>
      <c r="V48" s="1475"/>
      <c r="W48" s="1352"/>
      <c r="X48" s="1323"/>
      <c r="Y48" s="1323"/>
      <c r="Z48" s="1323"/>
      <c r="AA48" s="1323"/>
      <c r="AB48" s="1323"/>
      <c r="AC48" s="1323" t="s">
        <v>264</v>
      </c>
      <c r="AD48" s="1323" t="s">
        <v>265</v>
      </c>
      <c r="AE48" s="1323" t="s">
        <v>266</v>
      </c>
      <c r="AF48" s="1323" t="s">
        <v>267</v>
      </c>
      <c r="AG48" s="1323" t="s">
        <v>268</v>
      </c>
      <c r="AH48" s="1323" t="str">
        <f>IF($E$48=0,"",$E$48)</f>
        <v>Плата за услуги по поддержанию резервной тепловой мощности при отсутствии потребления тепловой энергии</v>
      </c>
      <c r="AI48" s="1323" t="str">
        <f>IF($G$48=0,"",$G$48)</f>
        <v/>
      </c>
      <c r="AJ48" s="1323" t="str">
        <f>IF($J$48=0,"",$J$48)</f>
        <v/>
      </c>
      <c r="AK48" s="1323" t="str">
        <f>IF($K$48="нет","без дифференциации",IF($N$48=0,"",$N$48))</f>
        <v/>
      </c>
      <c r="AL48" s="1323" t="str">
        <f>IF($O$48="нет","без дифференциации",IF($R$48=0,"",$R$48))</f>
        <v/>
      </c>
      <c r="AM48" s="1323" t="str">
        <f>IF($S$48="нет","без дифференциации",IF($V$48=0,"",$V$48))</f>
        <v/>
      </c>
      <c r="AN48" s="1828">
        <f>$I$48</f>
        <v>0</v>
      </c>
      <c r="AO48" s="1323" t="str">
        <f>$I$48&amp;"."&amp;$M$48</f>
        <v>.</v>
      </c>
      <c r="AP48" s="1315" t="str">
        <f>$I$48&amp;"."&amp;$M$48&amp;"."&amp;$Q$48</f>
        <v>..</v>
      </c>
      <c r="AQ48" s="1315" t="str">
        <f>$I$48&amp;"."&amp;$M$48&amp;"."&amp;$Q$48&amp;"."&amp;$U$48</f>
        <v>...</v>
      </c>
      <c r="AR48" s="1364">
        <v>0</v>
      </c>
    </row>
    <row s="2983" customFormat="1" customHeight="1" ht="17.25" hidden="1">
      <c r="A49" s="377"/>
      <c r="C49" s="376"/>
      <c r="D49" s="2223"/>
      <c r="E49" s="2226"/>
      <c r="F49" s="2202"/>
      <c r="G49" s="2226"/>
      <c r="H49" s="2205"/>
      <c r="I49" s="2207"/>
      <c r="J49" s="2209"/>
      <c r="K49" s="2194"/>
      <c r="L49" s="2194"/>
      <c r="M49" s="2194"/>
      <c r="N49" s="2196"/>
      <c r="O49" s="2194"/>
      <c r="P49" s="2194"/>
      <c r="Q49" s="2194"/>
      <c r="R49" s="2197"/>
      <c r="S49" s="2194"/>
      <c r="T49" s="1353"/>
      <c r="U49" s="1353"/>
      <c r="V49" s="1353"/>
      <c r="W49" s="1354"/>
      <c r="X49" s="1315"/>
      <c r="Y49" s="1315"/>
      <c r="Z49" s="1315"/>
      <c r="AA49" s="1315"/>
      <c r="AB49" s="1315"/>
      <c r="AC49" s="1315"/>
      <c r="AD49" s="1315"/>
      <c r="AE49" s="1315"/>
      <c r="AF49" s="1315"/>
      <c r="AG49" s="1315"/>
      <c r="AH49" s="1315"/>
      <c r="AI49" s="1315"/>
      <c r="AJ49" s="1315"/>
      <c r="AK49" s="1315"/>
      <c r="AL49" s="1315"/>
      <c r="AM49" s="1315"/>
      <c r="AN49" s="1315"/>
      <c r="AO49" s="1315"/>
      <c r="AP49" s="1315"/>
      <c r="AQ49" s="1315"/>
      <c r="AR49" s="1364">
        <v>0</v>
      </c>
    </row>
    <row s="2983" customFormat="1" customHeight="1" ht="17.25" hidden="1">
      <c r="A50" s="377"/>
      <c r="C50" s="376"/>
      <c r="D50" s="2223"/>
      <c r="E50" s="2226"/>
      <c r="F50" s="2202"/>
      <c r="G50" s="2226"/>
      <c r="H50" s="2205"/>
      <c r="I50" s="2207"/>
      <c r="J50" s="2210"/>
      <c r="K50" s="2194"/>
      <c r="L50" s="2194"/>
      <c r="M50" s="2194"/>
      <c r="N50" s="2197"/>
      <c r="O50" s="2194"/>
      <c r="P50" s="1474"/>
      <c r="Q50" s="1353"/>
      <c r="R50" s="1353"/>
      <c r="S50" s="385"/>
      <c r="T50" s="385"/>
      <c r="U50" s="385"/>
      <c r="V50" s="385"/>
      <c r="W50" s="1354"/>
      <c r="X50" s="1315"/>
      <c r="Y50" s="1315"/>
      <c r="Z50" s="1315"/>
      <c r="AA50" s="1315"/>
      <c r="AB50" s="1315"/>
      <c r="AC50" s="1315"/>
      <c r="AD50" s="1315"/>
      <c r="AE50" s="1315"/>
      <c r="AF50" s="1315"/>
      <c r="AG50" s="1315"/>
      <c r="AH50" s="1315"/>
      <c r="AI50" s="1315"/>
      <c r="AJ50" s="1315"/>
      <c r="AK50" s="1315"/>
      <c r="AL50" s="1315"/>
      <c r="AM50" s="1315"/>
      <c r="AN50" s="1315"/>
      <c r="AO50" s="1315"/>
      <c r="AP50" s="1315"/>
      <c r="AQ50" s="1315"/>
      <c r="AR50" s="1364">
        <v>0</v>
      </c>
    </row>
    <row s="2983" customFormat="1" customHeight="1" ht="17.25" hidden="1">
      <c r="A51" s="377"/>
      <c r="C51" s="265"/>
      <c r="D51" s="2223"/>
      <c r="E51" s="2226"/>
      <c r="F51" s="2202"/>
      <c r="G51" s="2226"/>
      <c r="H51" s="2205"/>
      <c r="I51" s="2207"/>
      <c r="J51" s="2210"/>
      <c r="K51" s="2194"/>
      <c r="L51" s="1353"/>
      <c r="M51" s="1353"/>
      <c r="N51" s="1353"/>
      <c r="O51" s="1353"/>
      <c r="P51" s="1353"/>
      <c r="Q51" s="1353"/>
      <c r="R51" s="1353"/>
      <c r="S51" s="385"/>
      <c r="T51" s="385"/>
      <c r="U51" s="385"/>
      <c r="V51" s="385"/>
      <c r="W51" s="1354"/>
      <c r="Y51" s="1323"/>
      <c r="Z51" s="1323"/>
      <c r="AA51" s="1323"/>
      <c r="AB51" s="1323"/>
      <c r="AC51" s="1323"/>
      <c r="AD51" s="1323"/>
      <c r="AE51" s="1323"/>
      <c r="AF51" s="1323"/>
      <c r="AG51" s="1323"/>
      <c r="AH51" s="1323"/>
      <c r="AI51" s="1323"/>
      <c r="AJ51" s="1323"/>
      <c r="AK51" s="1323"/>
      <c r="AL51" s="1323"/>
      <c r="AM51" s="1323"/>
      <c r="AN51" s="1323"/>
      <c r="AO51" s="1323"/>
      <c r="AP51" s="1323"/>
      <c r="AQ51" s="1323"/>
      <c r="AR51" s="1382">
        <v>0</v>
      </c>
    </row>
    <row s="2983" customFormat="1" customHeight="1" ht="17.25" hidden="1">
      <c r="A52" s="377"/>
      <c r="C52" s="376"/>
      <c r="D52" s="2224"/>
      <c r="E52" s="2227"/>
      <c r="F52" s="2203"/>
      <c r="G52" s="2227"/>
      <c r="H52" s="1355"/>
      <c r="I52" s="1356"/>
      <c r="J52" s="1356"/>
      <c r="K52" s="1356"/>
      <c r="L52" s="1356"/>
      <c r="M52" s="1356"/>
      <c r="N52" s="1356"/>
      <c r="O52" s="1356"/>
      <c r="P52" s="1356"/>
      <c r="Q52" s="1356"/>
      <c r="R52" s="1356"/>
      <c r="S52" s="1357"/>
      <c r="T52" s="1357"/>
      <c r="U52" s="1357"/>
      <c r="V52" s="1357"/>
      <c r="W52" s="1358"/>
      <c r="X52" s="1315"/>
      <c r="Y52" s="1315"/>
      <c r="Z52" s="1315"/>
      <c r="AA52" s="1315"/>
      <c r="AB52" s="1315"/>
      <c r="AC52" s="1315"/>
      <c r="AD52" s="1315"/>
      <c r="AE52" s="1315"/>
      <c r="AF52" s="1315"/>
      <c r="AG52" s="1315"/>
      <c r="AH52" s="1315"/>
      <c r="AI52" s="1315"/>
      <c r="AJ52" s="1315"/>
      <c r="AK52" s="1315"/>
      <c r="AL52" s="1315"/>
      <c r="AM52" s="1315"/>
      <c r="AN52" s="1315"/>
      <c r="AO52" s="1315"/>
      <c r="AP52" s="1315"/>
      <c r="AQ52" s="1315"/>
      <c r="AR52" s="1364">
        <v>0</v>
      </c>
    </row>
    <row s="2983" customFormat="1" customHeight="1" ht="17.25" hidden="1">
      <c r="A53" s="377"/>
      <c r="C53" s="265"/>
      <c r="D53" s="2191">
        <v>8</v>
      </c>
      <c r="E53" s="2199" t="s">
        <v>269</v>
      </c>
      <c r="F53" s="2201" t="s">
        <v>19</v>
      </c>
      <c r="G53" s="2199"/>
      <c r="H53" s="2204"/>
      <c r="I53" s="2206"/>
      <c r="J53" s="2208"/>
      <c r="K53" s="2193"/>
      <c r="L53" s="2193"/>
      <c r="M53" s="2193"/>
      <c r="N53" s="2195"/>
      <c r="O53" s="2193"/>
      <c r="P53" s="2193"/>
      <c r="Q53" s="2193"/>
      <c r="R53" s="2198"/>
      <c r="S53" s="2193"/>
      <c r="T53" s="1526"/>
      <c r="U53" s="1526"/>
      <c r="V53" s="1528"/>
      <c r="W53" s="1352"/>
      <c r="X53" s="1323"/>
      <c r="Y53" s="1323"/>
      <c r="Z53" s="1323"/>
      <c r="AA53" s="1323"/>
      <c r="AB53" s="1323"/>
      <c r="AC53" s="1323" t="s">
        <v>270</v>
      </c>
      <c r="AD53" s="1323" t="s">
        <v>271</v>
      </c>
      <c r="AE53" s="1323" t="s">
        <v>272</v>
      </c>
      <c r="AF53" s="1323" t="s">
        <v>273</v>
      </c>
      <c r="AG53" s="1323" t="s">
        <v>274</v>
      </c>
      <c r="AH53" s="1323" t="str">
        <f>IF($E$53=0,"",$E$53)</f>
        <v>Плата за подключение (технологическое присоединение) к системе теплоснабжения</v>
      </c>
      <c r="AI53" s="1323" t="str">
        <f>IF($G$53=0,"",$G$53)</f>
        <v/>
      </c>
      <c r="AJ53" s="1323" t="str">
        <f>IF($J$53=0,"",$J$53)</f>
        <v/>
      </c>
      <c r="AK53" s="1323" t="str">
        <f>IF($K$53="нет","без дифференциации",IF($N$53=0,"",$N$53))</f>
        <v/>
      </c>
      <c r="AL53" s="1323" t="str">
        <f>IF($O$53="нет","без дифференциации",IF($R$53=0,"",$R$53))</f>
        <v/>
      </c>
      <c r="AM53" s="1323" t="str">
        <f>IF($S$53="нет","без дифференциации",IF($V$53=0,"",$V$53))</f>
        <v/>
      </c>
      <c r="AN53" s="1828">
        <f>$I$53</f>
        <v>0</v>
      </c>
      <c r="AO53" s="1323" t="str">
        <f>$I$53&amp;"."&amp;$M$53</f>
        <v>.</v>
      </c>
      <c r="AP53" s="1315" t="str">
        <f>$I$53&amp;"."&amp;$M$53&amp;"."&amp;$Q$53</f>
        <v>..</v>
      </c>
      <c r="AQ53" s="1315" t="str">
        <f>$I$53&amp;"."&amp;$M$53&amp;"."&amp;$Q$53&amp;"."&amp;$U$53</f>
        <v>...</v>
      </c>
      <c r="AR53" s="1364">
        <v>0</v>
      </c>
    </row>
    <row s="2983" customFormat="1" customHeight="1" ht="17.25" hidden="1">
      <c r="A54" s="377"/>
      <c r="C54" s="376"/>
      <c r="D54" s="2191"/>
      <c r="E54" s="2199"/>
      <c r="F54" s="2202"/>
      <c r="G54" s="2199"/>
      <c r="H54" s="2205"/>
      <c r="I54" s="2207"/>
      <c r="J54" s="2209"/>
      <c r="K54" s="2194"/>
      <c r="L54" s="2194"/>
      <c r="M54" s="2194"/>
      <c r="N54" s="2196"/>
      <c r="O54" s="2194"/>
      <c r="P54" s="2194"/>
      <c r="Q54" s="2194"/>
      <c r="R54" s="2197"/>
      <c r="S54" s="2194"/>
      <c r="T54" s="1353"/>
      <c r="U54" s="1353"/>
      <c r="V54" s="1353"/>
      <c r="W54" s="1354"/>
      <c r="X54" s="1315"/>
      <c r="Y54" s="1315"/>
      <c r="Z54" s="1315"/>
      <c r="AA54" s="1315"/>
      <c r="AB54" s="1315"/>
      <c r="AC54" s="1315"/>
      <c r="AD54" s="1315"/>
      <c r="AE54" s="1315"/>
      <c r="AF54" s="1315"/>
      <c r="AG54" s="1315"/>
      <c r="AH54" s="1315"/>
      <c r="AI54" s="1315"/>
      <c r="AJ54" s="1315"/>
      <c r="AK54" s="1315"/>
      <c r="AL54" s="1315"/>
      <c r="AM54" s="1315"/>
      <c r="AN54" s="1315"/>
      <c r="AO54" s="1315"/>
      <c r="AP54" s="1315"/>
      <c r="AQ54" s="1315"/>
      <c r="AR54" s="1364">
        <v>0</v>
      </c>
    </row>
    <row s="2983" customFormat="1" customHeight="1" ht="17.25" hidden="1">
      <c r="A55" s="377"/>
      <c r="C55" s="376"/>
      <c r="D55" s="2192"/>
      <c r="E55" s="2200"/>
      <c r="F55" s="2202"/>
      <c r="G55" s="2200"/>
      <c r="H55" s="2205"/>
      <c r="I55" s="2207"/>
      <c r="J55" s="2210"/>
      <c r="K55" s="2194"/>
      <c r="L55" s="2194"/>
      <c r="M55" s="2194"/>
      <c r="N55" s="2197"/>
      <c r="O55" s="2194"/>
      <c r="P55" s="1527"/>
      <c r="Q55" s="1353"/>
      <c r="R55" s="1353"/>
      <c r="S55" s="385"/>
      <c r="T55" s="385"/>
      <c r="U55" s="385"/>
      <c r="V55" s="385"/>
      <c r="W55" s="1354"/>
      <c r="X55" s="1315"/>
      <c r="Y55" s="1315"/>
      <c r="Z55" s="1315"/>
      <c r="AA55" s="1315"/>
      <c r="AB55" s="1315"/>
      <c r="AC55" s="1315"/>
      <c r="AD55" s="1315"/>
      <c r="AE55" s="1315"/>
      <c r="AF55" s="1315"/>
      <c r="AG55" s="1315"/>
      <c r="AH55" s="1315"/>
      <c r="AI55" s="1315"/>
      <c r="AJ55" s="1315"/>
      <c r="AK55" s="1315"/>
      <c r="AL55" s="1315"/>
      <c r="AM55" s="1315"/>
      <c r="AN55" s="1315"/>
      <c r="AO55" s="1315"/>
      <c r="AP55" s="1315"/>
      <c r="AQ55" s="1315"/>
      <c r="AR55" s="1364">
        <v>0</v>
      </c>
    </row>
    <row s="2983" customFormat="1" customHeight="1" ht="17.25" hidden="1">
      <c r="A56" s="377"/>
      <c r="C56" s="265"/>
      <c r="D56" s="2192"/>
      <c r="E56" s="2200"/>
      <c r="F56" s="2202"/>
      <c r="G56" s="2200"/>
      <c r="H56" s="2205"/>
      <c r="I56" s="2207"/>
      <c r="J56" s="2210"/>
      <c r="K56" s="2194"/>
      <c r="L56" s="1353"/>
      <c r="M56" s="1353"/>
      <c r="N56" s="1353"/>
      <c r="O56" s="1353"/>
      <c r="P56" s="1353"/>
      <c r="Q56" s="1353"/>
      <c r="R56" s="1353"/>
      <c r="S56" s="385"/>
      <c r="T56" s="385"/>
      <c r="U56" s="385"/>
      <c r="V56" s="385"/>
      <c r="W56" s="1354"/>
      <c r="Y56" s="1323"/>
      <c r="Z56" s="1323"/>
      <c r="AA56" s="1323"/>
      <c r="AB56" s="1323"/>
      <c r="AC56" s="1323"/>
      <c r="AD56" s="1323"/>
      <c r="AE56" s="1323"/>
      <c r="AF56" s="1323"/>
      <c r="AG56" s="1323"/>
      <c r="AH56" s="1323"/>
      <c r="AI56" s="1323"/>
      <c r="AJ56" s="1323"/>
      <c r="AK56" s="1323"/>
      <c r="AL56" s="1323"/>
      <c r="AM56" s="1323"/>
      <c r="AN56" s="1323"/>
      <c r="AO56" s="1323"/>
      <c r="AP56" s="1323"/>
      <c r="AQ56" s="1323"/>
      <c r="AR56" s="1382">
        <v>0</v>
      </c>
    </row>
    <row s="2983" customFormat="1" customHeight="1" ht="17.25" hidden="1">
      <c r="A57" s="377"/>
      <c r="C57" s="376"/>
      <c r="D57" s="2192"/>
      <c r="E57" s="2200"/>
      <c r="F57" s="2203"/>
      <c r="G57" s="2200"/>
      <c r="H57" s="1355"/>
      <c r="I57" s="1356"/>
      <c r="J57" s="1356"/>
      <c r="K57" s="1356"/>
      <c r="L57" s="1356"/>
      <c r="M57" s="1356"/>
      <c r="N57" s="1356"/>
      <c r="O57" s="1356"/>
      <c r="P57" s="1356"/>
      <c r="Q57" s="1356"/>
      <c r="R57" s="1356"/>
      <c r="S57" s="1357"/>
      <c r="T57" s="1357"/>
      <c r="U57" s="1357"/>
      <c r="V57" s="1357"/>
      <c r="W57" s="1358"/>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64">
        <v>0</v>
      </c>
    </row>
    <row s="2983" customFormat="1" customHeight="1" ht="17.25" hidden="1">
      <c r="A58" s="377"/>
      <c r="C58" s="265"/>
      <c r="D58" s="2191">
        <v>9</v>
      </c>
      <c r="E58" s="2199" t="s">
        <v>275</v>
      </c>
      <c r="F58" s="2201" t="s">
        <v>19</v>
      </c>
      <c r="G58" s="2199"/>
      <c r="H58" s="2204"/>
      <c r="I58" s="2206"/>
      <c r="J58" s="2208"/>
      <c r="K58" s="2193"/>
      <c r="L58" s="2193"/>
      <c r="M58" s="2193"/>
      <c r="N58" s="2195"/>
      <c r="O58" s="2193"/>
      <c r="P58" s="2193"/>
      <c r="Q58" s="2193"/>
      <c r="R58" s="2198"/>
      <c r="S58" s="2193"/>
      <c r="T58" s="1987"/>
      <c r="U58" s="1987"/>
      <c r="V58" s="1989"/>
      <c r="W58" s="1352"/>
      <c r="X58" s="1323"/>
      <c r="Y58" s="1323"/>
      <c r="Z58" s="1323"/>
      <c r="AA58" s="1323"/>
      <c r="AB58" s="1323"/>
      <c r="AC58" s="1323" t="s">
        <v>276</v>
      </c>
      <c r="AD58" s="1323" t="s">
        <v>277</v>
      </c>
      <c r="AE58" s="1323" t="s">
        <v>278</v>
      </c>
      <c r="AF58" s="1323" t="s">
        <v>279</v>
      </c>
      <c r="AG58" s="1323" t="s">
        <v>280</v>
      </c>
      <c r="AH58" s="1323" t="str">
        <f>IF($E$58=0,"",$E$58)</f>
        <v>Плата за подключение (технологическое присоединение) к системе теплоснабжения (индивидуальная)</v>
      </c>
      <c r="AI58" s="1323" t="str">
        <f>IF($G$58=0,"",$G$58)</f>
        <v/>
      </c>
      <c r="AJ58" s="1323" t="str">
        <f>IF($J$58=0,"",$J$58)</f>
        <v/>
      </c>
      <c r="AK58" s="1323" t="str">
        <f>IF($K$58="нет","без дифференциации",IF($N$58=0,"",$N$58))</f>
        <v/>
      </c>
      <c r="AL58" s="1323" t="str">
        <f>IF($O$58="нет","без дифференциации",IF($R$58=0,"",$R$58))</f>
        <v/>
      </c>
      <c r="AM58" s="1323" t="str">
        <f>IF($S$58="нет","без дифференциации",IF($V$58=0,"",$V$58))</f>
        <v/>
      </c>
      <c r="AN58" s="1828">
        <f>$I$58</f>
        <v>0</v>
      </c>
      <c r="AO58" s="1323" t="str">
        <f>$I$58&amp;"."&amp;$M$58</f>
        <v>.</v>
      </c>
      <c r="AP58" s="1322" t="str">
        <f>$I$58&amp;"."&amp;$M$58&amp;"."&amp;$Q$58</f>
        <v>..</v>
      </c>
      <c r="AQ58" s="1322" t="str">
        <f>$I$58&amp;"."&amp;$M$58&amp;"."&amp;$Q$58&amp;"."&amp;$U$58</f>
        <v>...</v>
      </c>
      <c r="AR58" s="1523">
        <v>0</v>
      </c>
    </row>
    <row s="2983" customFormat="1" customHeight="1" ht="17.25" hidden="1">
      <c r="A59" s="377"/>
      <c r="C59" s="376"/>
      <c r="D59" s="2191"/>
      <c r="E59" s="2199"/>
      <c r="F59" s="2202"/>
      <c r="G59" s="2199"/>
      <c r="H59" s="2205"/>
      <c r="I59" s="2207"/>
      <c r="J59" s="2209"/>
      <c r="K59" s="2194"/>
      <c r="L59" s="2194"/>
      <c r="M59" s="2194"/>
      <c r="N59" s="2196"/>
      <c r="O59" s="2194"/>
      <c r="P59" s="2194"/>
      <c r="Q59" s="2194"/>
      <c r="R59" s="2197"/>
      <c r="S59" s="2194"/>
      <c r="T59" s="1990"/>
      <c r="U59" s="1990"/>
      <c r="V59" s="1990"/>
      <c r="W59" s="1991"/>
      <c r="X59" s="1322"/>
      <c r="Y59" s="1322"/>
      <c r="Z59" s="1322"/>
      <c r="AA59" s="1322"/>
      <c r="AB59" s="1322"/>
      <c r="AC59" s="1322"/>
      <c r="AD59" s="1322"/>
      <c r="AE59" s="1322"/>
      <c r="AF59" s="1322"/>
      <c r="AG59" s="1322"/>
      <c r="AH59" s="1322"/>
      <c r="AI59" s="1322"/>
      <c r="AJ59" s="1322"/>
      <c r="AK59" s="1322"/>
      <c r="AL59" s="1322"/>
      <c r="AM59" s="1322"/>
      <c r="AN59" s="1322"/>
      <c r="AO59" s="1322"/>
      <c r="AP59" s="1322"/>
      <c r="AQ59" s="1322"/>
      <c r="AR59" s="1523">
        <v>0</v>
      </c>
    </row>
    <row s="2983" customFormat="1" customHeight="1" ht="17.25" hidden="1">
      <c r="A60" s="377"/>
      <c r="C60" s="376"/>
      <c r="D60" s="2192"/>
      <c r="E60" s="2200"/>
      <c r="F60" s="2202"/>
      <c r="G60" s="2200"/>
      <c r="H60" s="2205"/>
      <c r="I60" s="2207"/>
      <c r="J60" s="2210"/>
      <c r="K60" s="2194"/>
      <c r="L60" s="2194"/>
      <c r="M60" s="2194"/>
      <c r="N60" s="2197"/>
      <c r="O60" s="2194"/>
      <c r="P60" s="1988"/>
      <c r="Q60" s="1990"/>
      <c r="R60" s="1990"/>
      <c r="S60" s="385"/>
      <c r="T60" s="385"/>
      <c r="U60" s="385"/>
      <c r="V60" s="385"/>
      <c r="W60" s="1991"/>
      <c r="X60" s="1322"/>
      <c r="Y60" s="1322"/>
      <c r="Z60" s="1322"/>
      <c r="AA60" s="1322"/>
      <c r="AB60" s="1322"/>
      <c r="AC60" s="1322"/>
      <c r="AD60" s="1322"/>
      <c r="AE60" s="1322"/>
      <c r="AF60" s="1322"/>
      <c r="AG60" s="1322"/>
      <c r="AH60" s="1322"/>
      <c r="AI60" s="1322"/>
      <c r="AJ60" s="1322"/>
      <c r="AK60" s="1322"/>
      <c r="AL60" s="1322"/>
      <c r="AM60" s="1322"/>
      <c r="AN60" s="1322"/>
      <c r="AO60" s="1322"/>
      <c r="AP60" s="1322"/>
      <c r="AQ60" s="1322"/>
      <c r="AR60" s="1523">
        <v>0</v>
      </c>
    </row>
    <row s="2983" customFormat="1" customHeight="1" ht="17.25" hidden="1">
      <c r="A61" s="377"/>
      <c r="C61" s="265"/>
      <c r="D61" s="2192"/>
      <c r="E61" s="2200"/>
      <c r="F61" s="2202"/>
      <c r="G61" s="2200"/>
      <c r="H61" s="2205"/>
      <c r="I61" s="2207"/>
      <c r="J61" s="2210"/>
      <c r="K61" s="2194"/>
      <c r="L61" s="1990"/>
      <c r="M61" s="1990"/>
      <c r="N61" s="1990"/>
      <c r="O61" s="1990"/>
      <c r="P61" s="1990"/>
      <c r="Q61" s="1990"/>
      <c r="R61" s="1990"/>
      <c r="S61" s="385"/>
      <c r="T61" s="385"/>
      <c r="U61" s="385"/>
      <c r="V61" s="385"/>
      <c r="W61" s="1991"/>
      <c r="Y61" s="1323"/>
      <c r="Z61" s="1323"/>
      <c r="AA61" s="1323"/>
      <c r="AB61" s="1323"/>
      <c r="AC61" s="1323"/>
      <c r="AD61" s="1323"/>
      <c r="AE61" s="1323"/>
      <c r="AF61" s="1323"/>
      <c r="AG61" s="1323"/>
      <c r="AH61" s="1323"/>
      <c r="AI61" s="1323"/>
      <c r="AJ61" s="1323"/>
      <c r="AK61" s="1323"/>
      <c r="AL61" s="1323"/>
      <c r="AM61" s="1323"/>
      <c r="AN61" s="1323"/>
      <c r="AO61" s="1323"/>
      <c r="AP61" s="1323"/>
      <c r="AQ61" s="1323"/>
      <c r="AR61" s="1523">
        <v>0</v>
      </c>
    </row>
    <row s="2983" customFormat="1" customHeight="1" ht="17.25" hidden="1">
      <c r="A62" s="377"/>
      <c r="C62" s="376"/>
      <c r="D62" s="2192"/>
      <c r="E62" s="2200"/>
      <c r="F62" s="2203"/>
      <c r="G62" s="2200"/>
      <c r="H62" s="1355"/>
      <c r="I62" s="1992"/>
      <c r="J62" s="1992"/>
      <c r="K62" s="1992"/>
      <c r="L62" s="1992"/>
      <c r="M62" s="1992"/>
      <c r="N62" s="1992"/>
      <c r="O62" s="1992"/>
      <c r="P62" s="1992"/>
      <c r="Q62" s="1992"/>
      <c r="R62" s="1992"/>
      <c r="S62" s="1357"/>
      <c r="T62" s="1357"/>
      <c r="U62" s="1357"/>
      <c r="V62" s="1357"/>
      <c r="W62" s="1993"/>
      <c r="X62" s="1322"/>
      <c r="Y62" s="1322"/>
      <c r="Z62" s="1322"/>
      <c r="AA62" s="1322"/>
      <c r="AB62" s="1322"/>
      <c r="AC62" s="1322"/>
      <c r="AD62" s="1322"/>
      <c r="AE62" s="1322"/>
      <c r="AF62" s="1322"/>
      <c r="AG62" s="1322"/>
      <c r="AH62" s="1322"/>
      <c r="AI62" s="1322"/>
      <c r="AJ62" s="1322"/>
      <c r="AK62" s="1322"/>
      <c r="AL62" s="1322"/>
      <c r="AM62" s="1322"/>
      <c r="AN62" s="1322"/>
      <c r="AO62" s="1322"/>
      <c r="AP62" s="1322"/>
      <c r="AQ62" s="1322"/>
      <c r="AR62" s="1523">
        <v>0</v>
      </c>
    </row>
    <row s="2983" customFormat="1" customHeight="1" ht="17.25" hidden="1">
      <c r="A63" s="377"/>
      <c r="C63" s="265"/>
      <c r="D63" s="2191">
        <v>10</v>
      </c>
      <c r="E63" s="2199" t="s">
        <v>281</v>
      </c>
      <c r="F63" s="2201" t="s">
        <v>19</v>
      </c>
      <c r="G63" s="2199"/>
      <c r="H63" s="2204"/>
      <c r="I63" s="2206"/>
      <c r="J63" s="2208"/>
      <c r="K63" s="2193"/>
      <c r="L63" s="2193"/>
      <c r="M63" s="2193"/>
      <c r="N63" s="2195"/>
      <c r="O63" s="2193"/>
      <c r="P63" s="2193"/>
      <c r="Q63" s="2193"/>
      <c r="R63" s="2198"/>
      <c r="S63" s="2193"/>
      <c r="T63" s="1987"/>
      <c r="U63" s="1987"/>
      <c r="V63" s="1989"/>
      <c r="W63" s="1352"/>
      <c r="X63" s="1323"/>
      <c r="Y63" s="1323"/>
      <c r="Z63" s="1323"/>
      <c r="AA63" s="1323"/>
      <c r="AB63" s="1323"/>
      <c r="AC63" s="1323" t="s">
        <v>282</v>
      </c>
      <c r="AD63" s="1323" t="s">
        <v>283</v>
      </c>
      <c r="AE63" s="1323" t="s">
        <v>284</v>
      </c>
      <c r="AF63" s="1323" t="s">
        <v>285</v>
      </c>
      <c r="AG63" s="1323" t="s">
        <v>286</v>
      </c>
      <c r="AH63" s="1323" t="str">
        <f>IF($E$63=0,"",$E$63)</f>
        <v>Предельный уровень цены на тепловую энергию (мощность), поставляемую теплоснабжающими организациями потребителям</v>
      </c>
      <c r="AI63" s="1323" t="str">
        <f>IF($G$63=0,"",$G$63)</f>
        <v/>
      </c>
      <c r="AJ63" s="1323" t="str">
        <f>IF($J$63=0,"",$J$63)</f>
        <v/>
      </c>
      <c r="AK63" s="1323" t="str">
        <f>IF($K$63="нет","без дифференциации",IF($N$63=0,"",$N$63))</f>
        <v/>
      </c>
      <c r="AL63" s="1323" t="str">
        <f>IF($O$63="нет","без дифференциации",IF($R$63=0,"",$R$63))</f>
        <v/>
      </c>
      <c r="AM63" s="1323" t="str">
        <f>IF($S$63="нет","без дифференциации",IF($V$63=0,"",$V$63))</f>
        <v/>
      </c>
      <c r="AN63" s="1828">
        <f>$I$63</f>
        <v>0</v>
      </c>
      <c r="AO63" s="1323" t="str">
        <f>$I$63&amp;"."&amp;$M$63</f>
        <v>.</v>
      </c>
      <c r="AP63" s="1322" t="str">
        <f>$I$63&amp;"."&amp;$M$63&amp;"."&amp;$Q$63</f>
        <v>..</v>
      </c>
      <c r="AQ63" s="1322" t="str">
        <f>$I$63&amp;"."&amp;$M$63&amp;"."&amp;$Q$63&amp;"."&amp;$U$63</f>
        <v>...</v>
      </c>
      <c r="AR63" s="1523">
        <v>0</v>
      </c>
    </row>
    <row s="2983" customFormat="1" customHeight="1" ht="17.25" hidden="1">
      <c r="A64" s="377"/>
      <c r="C64" s="376"/>
      <c r="D64" s="2191"/>
      <c r="E64" s="2199"/>
      <c r="F64" s="2202"/>
      <c r="G64" s="2199"/>
      <c r="H64" s="2205"/>
      <c r="I64" s="2207"/>
      <c r="J64" s="2209"/>
      <c r="K64" s="2194"/>
      <c r="L64" s="2194"/>
      <c r="M64" s="2194"/>
      <c r="N64" s="2196"/>
      <c r="O64" s="2194"/>
      <c r="P64" s="2194"/>
      <c r="Q64" s="2194"/>
      <c r="R64" s="2197"/>
      <c r="S64" s="2194"/>
      <c r="T64" s="1990"/>
      <c r="U64" s="1990"/>
      <c r="V64" s="1990"/>
      <c r="W64" s="1991"/>
      <c r="X64" s="1322"/>
      <c r="Y64" s="1322"/>
      <c r="Z64" s="1322"/>
      <c r="AA64" s="1322"/>
      <c r="AB64" s="1322"/>
      <c r="AC64" s="1322"/>
      <c r="AD64" s="1322"/>
      <c r="AE64" s="1322"/>
      <c r="AF64" s="1322"/>
      <c r="AG64" s="1322"/>
      <c r="AH64" s="1322"/>
      <c r="AI64" s="1322"/>
      <c r="AJ64" s="1322"/>
      <c r="AK64" s="1322"/>
      <c r="AL64" s="1322"/>
      <c r="AM64" s="1322"/>
      <c r="AN64" s="1322"/>
      <c r="AO64" s="1322"/>
      <c r="AP64" s="1322"/>
      <c r="AQ64" s="1322"/>
      <c r="AR64" s="1523">
        <v>0</v>
      </c>
    </row>
    <row s="2983" customFormat="1" customHeight="1" ht="17.25" hidden="1">
      <c r="A65" s="377"/>
      <c r="C65" s="376"/>
      <c r="D65" s="2192"/>
      <c r="E65" s="2200"/>
      <c r="F65" s="2202"/>
      <c r="G65" s="2200"/>
      <c r="H65" s="2205"/>
      <c r="I65" s="2207"/>
      <c r="J65" s="2210"/>
      <c r="K65" s="2194"/>
      <c r="L65" s="2194"/>
      <c r="M65" s="2194"/>
      <c r="N65" s="2197"/>
      <c r="O65" s="2194"/>
      <c r="P65" s="1988"/>
      <c r="Q65" s="1990"/>
      <c r="R65" s="1990"/>
      <c r="S65" s="385"/>
      <c r="T65" s="385"/>
      <c r="U65" s="385"/>
      <c r="V65" s="385"/>
      <c r="W65" s="1991"/>
      <c r="X65" s="1322"/>
      <c r="Y65" s="1322"/>
      <c r="Z65" s="1322"/>
      <c r="AA65" s="1322"/>
      <c r="AB65" s="1322"/>
      <c r="AC65" s="1322"/>
      <c r="AD65" s="1322"/>
      <c r="AE65" s="1322"/>
      <c r="AF65" s="1322"/>
      <c r="AG65" s="1322"/>
      <c r="AH65" s="1322"/>
      <c r="AI65" s="1322"/>
      <c r="AJ65" s="1322"/>
      <c r="AK65" s="1322"/>
      <c r="AL65" s="1322"/>
      <c r="AM65" s="1322"/>
      <c r="AN65" s="1322"/>
      <c r="AO65" s="1322"/>
      <c r="AP65" s="1322"/>
      <c r="AQ65" s="1322"/>
      <c r="AR65" s="1523">
        <v>0</v>
      </c>
    </row>
    <row s="2983" customFormat="1" customHeight="1" ht="17.25" hidden="1">
      <c r="A66" s="377"/>
      <c r="C66" s="265"/>
      <c r="D66" s="2192"/>
      <c r="E66" s="2200"/>
      <c r="F66" s="2202"/>
      <c r="G66" s="2200"/>
      <c r="H66" s="2205"/>
      <c r="I66" s="2207"/>
      <c r="J66" s="2210"/>
      <c r="K66" s="2194"/>
      <c r="L66" s="1990"/>
      <c r="M66" s="1990"/>
      <c r="N66" s="1990"/>
      <c r="O66" s="1990"/>
      <c r="P66" s="1990"/>
      <c r="Q66" s="1990"/>
      <c r="R66" s="1990"/>
      <c r="S66" s="385"/>
      <c r="T66" s="385"/>
      <c r="U66" s="385"/>
      <c r="V66" s="385"/>
      <c r="W66" s="1991"/>
      <c r="Y66" s="1323"/>
      <c r="Z66" s="1323"/>
      <c r="AA66" s="1323"/>
      <c r="AB66" s="1323"/>
      <c r="AC66" s="1323"/>
      <c r="AD66" s="1323"/>
      <c r="AE66" s="1323"/>
      <c r="AF66" s="1323"/>
      <c r="AG66" s="1323"/>
      <c r="AH66" s="1323"/>
      <c r="AI66" s="1323"/>
      <c r="AJ66" s="1323"/>
      <c r="AK66" s="1323"/>
      <c r="AL66" s="1323"/>
      <c r="AM66" s="1323"/>
      <c r="AN66" s="1323"/>
      <c r="AO66" s="1323"/>
      <c r="AP66" s="1323"/>
      <c r="AQ66" s="1323"/>
      <c r="AR66" s="1523">
        <v>0</v>
      </c>
    </row>
    <row s="2983" customFormat="1" customHeight="1" ht="17.25" hidden="1">
      <c r="A67" s="377"/>
      <c r="C67" s="376"/>
      <c r="D67" s="2192"/>
      <c r="E67" s="2200"/>
      <c r="F67" s="2203"/>
      <c r="G67" s="2200"/>
      <c r="H67" s="1355"/>
      <c r="I67" s="1992"/>
      <c r="J67" s="1992"/>
      <c r="K67" s="1992"/>
      <c r="L67" s="1992"/>
      <c r="M67" s="1992"/>
      <c r="N67" s="1992"/>
      <c r="O67" s="1992"/>
      <c r="P67" s="1992"/>
      <c r="Q67" s="1992"/>
      <c r="R67" s="1992"/>
      <c r="S67" s="1357"/>
      <c r="T67" s="1357"/>
      <c r="U67" s="1357"/>
      <c r="V67" s="1357"/>
      <c r="W67" s="1993"/>
      <c r="X67" s="1322"/>
      <c r="Y67" s="1322"/>
      <c r="Z67" s="1322"/>
      <c r="AA67" s="1322"/>
      <c r="AB67" s="1322"/>
      <c r="AC67" s="1322"/>
      <c r="AD67" s="1322"/>
      <c r="AE67" s="1322"/>
      <c r="AF67" s="1322"/>
      <c r="AG67" s="1322"/>
      <c r="AH67" s="1322"/>
      <c r="AI67" s="1322"/>
      <c r="AJ67" s="1322"/>
      <c r="AK67" s="1322"/>
      <c r="AL67" s="1322"/>
      <c r="AM67" s="1322"/>
      <c r="AN67" s="1322"/>
      <c r="AO67" s="1322"/>
      <c r="AP67" s="1322"/>
      <c r="AQ67" s="1322"/>
      <c r="AR67" s="1523">
        <v>0</v>
      </c>
    </row>
    <row customHeight="1" ht="11.25" hidden="1">
      <c r="AR68" s="160">
        <v>0</v>
      </c>
    </row>
    <row customHeight="1" ht="11.25" hidden="1">
      <c r="E69" s="2230" t="s">
        <v>287</v>
      </c>
      <c r="F69" s="2230"/>
      <c r="G69" s="2230"/>
      <c r="H69" s="2230"/>
      <c r="I69" s="2230"/>
      <c r="J69" s="2230"/>
      <c r="K69" s="2230"/>
      <c r="L69" s="2230"/>
      <c r="M69" s="2230"/>
      <c r="N69" s="2230"/>
      <c r="O69" s="2230"/>
      <c r="P69" s="2230"/>
      <c r="Q69" s="2230"/>
      <c r="R69" s="2230"/>
      <c r="S69" s="2230"/>
      <c r="T69" s="2230"/>
      <c r="U69" s="2230"/>
      <c r="V69" s="2230"/>
      <c r="W69" s="2230"/>
      <c r="AR69" s="160">
        <v>0</v>
      </c>
    </row>
    <row customHeight="1" ht="36.75" hidden="1">
      <c r="E70" s="2228" t="s">
        <v>288</v>
      </c>
      <c r="F70" s="2228"/>
      <c r="G70" s="2229"/>
      <c r="H70" s="2229"/>
      <c r="I70" s="2229"/>
      <c r="J70" s="2229"/>
      <c r="K70" s="2229"/>
      <c r="L70" s="2229"/>
      <c r="M70" s="2229"/>
      <c r="N70" s="2229"/>
      <c r="O70" s="2229"/>
      <c r="P70" s="2229"/>
      <c r="Q70" s="2229"/>
      <c r="R70" s="2229"/>
      <c r="S70" s="2229"/>
      <c r="T70" s="2229"/>
      <c r="U70" s="2229"/>
      <c r="V70" s="2229"/>
      <c r="W70" s="2229"/>
      <c r="AR70" s="160">
        <v>0</v>
      </c>
    </row>
    <row customHeight="1" ht="28.5" hidden="1">
      <c r="E71" s="2228" t="s">
        <v>289</v>
      </c>
      <c r="F71" s="2228"/>
      <c r="G71" s="2229"/>
      <c r="H71" s="2229"/>
      <c r="I71" s="2229"/>
      <c r="J71" s="2229"/>
      <c r="K71" s="2229"/>
      <c r="L71" s="2229"/>
      <c r="M71" s="2229"/>
      <c r="N71" s="2229"/>
      <c r="O71" s="2229"/>
      <c r="P71" s="2229"/>
      <c r="Q71" s="2229"/>
      <c r="R71" s="2229"/>
      <c r="S71" s="2229"/>
      <c r="T71" s="2229"/>
      <c r="U71" s="2229"/>
      <c r="V71" s="2229"/>
      <c r="W71" s="2229"/>
      <c r="AR71" s="160">
        <v>0</v>
      </c>
    </row>
    <row customHeight="1" ht="27" hidden="1">
      <c r="E72" s="2228" t="s">
        <v>290</v>
      </c>
      <c r="F72" s="2228"/>
      <c r="G72" s="2229"/>
      <c r="H72" s="2229"/>
      <c r="I72" s="2229"/>
      <c r="J72" s="2229"/>
      <c r="K72" s="2229"/>
      <c r="L72" s="2229"/>
      <c r="M72" s="2229"/>
      <c r="N72" s="2229"/>
      <c r="O72" s="2229"/>
      <c r="P72" s="2229"/>
      <c r="Q72" s="2229"/>
      <c r="R72" s="2229"/>
      <c r="S72" s="2229"/>
      <c r="T72" s="2229"/>
      <c r="U72" s="2229"/>
      <c r="V72" s="2229"/>
      <c r="W72" s="2229"/>
      <c r="AR72" s="160">
        <v>0</v>
      </c>
    </row>
    <row customHeight="1" ht="17.25" hidden="1">
      <c r="E73" s="2228" t="s">
        <v>291</v>
      </c>
      <c r="F73" s="2228"/>
      <c r="G73" s="2229"/>
      <c r="H73" s="2229"/>
      <c r="I73" s="2229"/>
      <c r="J73" s="2229"/>
      <c r="K73" s="2229"/>
      <c r="L73" s="2229"/>
      <c r="M73" s="2229"/>
      <c r="N73" s="2229"/>
      <c r="O73" s="2229"/>
      <c r="P73" s="2229"/>
      <c r="Q73" s="2229"/>
      <c r="R73" s="2229"/>
      <c r="S73" s="2229"/>
      <c r="T73" s="2229"/>
      <c r="U73" s="2229"/>
      <c r="V73" s="2229"/>
      <c r="W73" s="2229"/>
      <c r="AR73" s="160">
        <v>0</v>
      </c>
    </row>
    <row customHeight="1" ht="15" hidden="1">
      <c r="E74" s="396"/>
      <c r="F74" s="1341"/>
      <c r="G74" s="213"/>
      <c r="H74" s="213"/>
      <c r="I74" s="213"/>
      <c r="J74" s="213"/>
      <c r="K74" s="213"/>
      <c r="L74" s="213"/>
      <c r="M74" s="213"/>
      <c r="N74" s="213"/>
      <c r="O74" s="213"/>
      <c r="P74" s="213"/>
      <c r="Q74" s="213"/>
      <c r="R74" s="213"/>
      <c r="S74" s="213"/>
      <c r="T74" s="213"/>
      <c r="U74" s="213"/>
      <c r="V74" s="213"/>
      <c r="W74" s="213"/>
      <c r="AR74" s="160">
        <v>0</v>
      </c>
    </row>
    <row customHeight="1" ht="15" hidden="1">
      <c r="E75" s="2230" t="s">
        <v>292</v>
      </c>
      <c r="F75" s="2230"/>
      <c r="G75" s="2230"/>
      <c r="H75" s="2230"/>
      <c r="I75" s="2230"/>
      <c r="J75" s="2230"/>
      <c r="K75" s="2230"/>
      <c r="L75" s="2230"/>
      <c r="M75" s="2230"/>
      <c r="N75" s="2230"/>
      <c r="O75" s="2230"/>
      <c r="P75" s="2230"/>
      <c r="Q75" s="2230"/>
      <c r="R75" s="2230"/>
      <c r="S75" s="2230"/>
      <c r="T75" s="2230"/>
      <c r="U75" s="2230"/>
      <c r="V75" s="2230"/>
      <c r="W75" s="2230"/>
      <c r="AR75" s="160">
        <v>0</v>
      </c>
    </row>
    <row customHeight="1" ht="17.25" hidden="1">
      <c r="E76" s="2228" t="s">
        <v>293</v>
      </c>
      <c r="F76" s="2228"/>
      <c r="G76" s="2229"/>
      <c r="H76" s="2229"/>
      <c r="I76" s="2229"/>
      <c r="J76" s="2229"/>
      <c r="K76" s="2229"/>
      <c r="L76" s="2229"/>
      <c r="M76" s="2229"/>
      <c r="N76" s="2229"/>
      <c r="O76" s="2229"/>
      <c r="P76" s="2229"/>
      <c r="Q76" s="2229"/>
      <c r="R76" s="2229"/>
      <c r="S76" s="2229"/>
      <c r="T76" s="2229"/>
      <c r="U76" s="2229"/>
      <c r="V76" s="2229"/>
      <c r="W76" s="2229"/>
      <c r="AR76" s="160">
        <v>0</v>
      </c>
    </row>
    <row customHeight="1" ht="17.25" hidden="1">
      <c r="E77" s="2228" t="s">
        <v>294</v>
      </c>
      <c r="F77" s="2228"/>
      <c r="G77" s="2229"/>
      <c r="H77" s="2229"/>
      <c r="I77" s="2229"/>
      <c r="J77" s="2229"/>
      <c r="K77" s="2229"/>
      <c r="L77" s="2229"/>
      <c r="M77" s="2229"/>
      <c r="N77" s="2229"/>
      <c r="O77" s="2229"/>
      <c r="P77" s="2229"/>
      <c r="Q77" s="2229"/>
      <c r="R77" s="2229"/>
      <c r="S77" s="2229"/>
      <c r="T77" s="2229"/>
      <c r="U77" s="2229"/>
      <c r="V77" s="2229"/>
      <c r="W77" s="2229"/>
      <c r="AR77" s="160">
        <v>0</v>
      </c>
    </row>
    <row s="2983" customFormat="1" customHeight="1" ht="11.25" hidden="1">
      <c r="A78" s="333"/>
      <c r="B78" s="333"/>
      <c r="Y78" s="1315"/>
      <c r="Z78" s="1315"/>
      <c r="AA78" s="1315"/>
      <c r="AB78" s="1315"/>
      <c r="AC78" s="1315"/>
      <c r="AD78" s="1315"/>
      <c r="AE78" s="1315"/>
      <c r="AF78" s="1315"/>
      <c r="AG78" s="1315"/>
      <c r="AH78" s="1315"/>
      <c r="AI78" s="1315"/>
      <c r="AJ78" s="1315"/>
      <c r="AK78" s="1315"/>
      <c r="AL78" s="1315"/>
      <c r="AM78" s="1315"/>
      <c r="AN78" s="1315"/>
      <c r="AO78" s="1315"/>
      <c r="AP78" s="1315"/>
      <c r="AQ78" s="1315"/>
      <c r="AR78" s="1406">
        <v>0</v>
      </c>
    </row>
    <row s="2983" customFormat="1" customHeight="1" ht="17.25">
      <c r="A79" s="377"/>
      <c r="C79" s="265"/>
      <c r="D79" s="2191">
        <v>1</v>
      </c>
      <c r="E79" s="2199" t="s">
        <v>295</v>
      </c>
      <c r="F79" s="2201" t="s">
        <v>65</v>
      </c>
      <c r="G79" s="3149" t="str">
        <f>INDEX(VD_NAME_LIST,MATCH("4189671",VD_ID_LIST,0))</f>
        <v>Холодное водоснабжение. Питьевая вода</v>
      </c>
      <c r="H79" s="3150"/>
      <c r="I79" s="3150">
        <v>1</v>
      </c>
      <c r="J79" s="3151" t="s">
        <v>296</v>
      </c>
      <c r="K79" s="3152" t="s">
        <v>65</v>
      </c>
      <c r="L79" s="3153"/>
      <c r="M79" s="3153" t="s">
        <v>191</v>
      </c>
      <c r="N79" s="3154" t="str">
        <f>IF(Z79="","",INDEX(TERRITORY_MR_LIST,MATCH(Z79,TERRITORY_LIST_ID,0)))</f>
        <v>Территория 1</v>
      </c>
      <c r="O79" s="3152" t="s">
        <v>19</v>
      </c>
      <c r="P79" s="3153"/>
      <c r="Q79" s="3153" t="s">
        <v>191</v>
      </c>
      <c r="R79" s="3155" t="s">
        <v>28</v>
      </c>
      <c r="S79" s="3156" t="s">
        <v>19</v>
      </c>
      <c r="T79" s="3156"/>
      <c r="U79" s="3156" t="s">
        <v>191</v>
      </c>
      <c r="V79" s="3157"/>
      <c r="W79" s="3151"/>
      <c r="Y79" s="1323"/>
      <c r="Z79" s="1323" t="s">
        <v>102</v>
      </c>
      <c r="AA79" s="1323"/>
      <c r="AB79" s="1323" t="s">
        <v>297</v>
      </c>
      <c r="AC79" s="1323" t="s">
        <v>298</v>
      </c>
      <c r="AD79" s="1323" t="s">
        <v>299</v>
      </c>
      <c r="AE79" s="1323" t="s">
        <v>300</v>
      </c>
      <c r="AF79" s="1323" t="s">
        <v>301</v>
      </c>
      <c r="AG79" s="1323"/>
      <c r="AH79" s="1323" t="str">
        <f>IF($E$79=0,"",$E$79)</f>
        <v>Тариф на питьевую воду (питьевое водоснабжение)</v>
      </c>
      <c r="AI79" s="1323" t="str">
        <f>IF($G$79=0,"",$G$79)</f>
        <v>Холодное водоснабжение. Питьевая вода</v>
      </c>
      <c r="AJ79" s="1323" t="str">
        <f>IF($J$79=0,"",$J$79)</f>
        <v>Питьевая вода</v>
      </c>
      <c r="AK79" s="1323" t="str">
        <f>IF($K$79="нет","без дифференциации",IF($N$79=0,"",$N$79))</f>
        <v>Территория 1</v>
      </c>
      <c r="AL79" s="1323" t="str">
        <f>IF($O$79="нет","без дифференциации",IF($R$79=0,"",$R$79))</f>
        <v>без дифференциации</v>
      </c>
      <c r="AM79" s="1323" t="str">
        <f>IF($S$79="нет","без дифференциации",IF($V$79=0,"",$V$79))</f>
        <v>без дифференциации</v>
      </c>
      <c r="AN79" s="1323">
        <f>$I$79</f>
        <v>1</v>
      </c>
      <c r="AO79" s="1323" t="str">
        <f>$I$79&amp;"."&amp;$M$79</f>
        <v>1.1</v>
      </c>
      <c r="AP79" s="1323" t="str">
        <f>$I$79&amp;"."&amp;$M$79&amp;"."&amp;$Q$79</f>
        <v>1.1.1</v>
      </c>
      <c r="AQ79" s="1323" t="str">
        <f>$I$79&amp;"."&amp;$M$79&amp;"."&amp;$Q$79&amp;"."&amp;$U$79</f>
        <v>1.1.1.1</v>
      </c>
      <c r="AR79" s="1406">
        <v>0</v>
      </c>
    </row>
    <row s="2983" customFormat="1" customHeight="1" ht="17.25">
      <c r="A80" s="377"/>
      <c r="C80" s="376"/>
      <c r="D80" s="2191"/>
      <c r="E80" s="2199"/>
      <c r="F80" s="2202"/>
      <c r="G80" s="3149"/>
      <c r="H80" s="3150"/>
      <c r="I80" s="3150"/>
      <c r="J80" s="3151"/>
      <c r="K80" s="3158"/>
      <c r="L80" s="3153"/>
      <c r="M80" s="3153"/>
      <c r="N80" s="3154"/>
      <c r="O80" s="3158"/>
      <c r="P80" s="3153"/>
      <c r="Q80" s="3153"/>
      <c r="R80" s="3155" t="s">
        <v>28</v>
      </c>
      <c r="S80" s="3156"/>
      <c r="T80" s="3159"/>
      <c r="U80" s="3160"/>
      <c r="V80" s="3160"/>
      <c r="W80" s="3151"/>
      <c r="Y80" s="1315"/>
      <c r="Z80" s="1315"/>
      <c r="AA80" s="1315"/>
      <c r="AB80" s="1315"/>
      <c r="AC80" s="1315"/>
      <c r="AD80" s="1315"/>
      <c r="AE80" s="1315"/>
      <c r="AF80" s="1315"/>
      <c r="AG80" s="1315"/>
      <c r="AH80" s="1315"/>
      <c r="AI80" s="1315"/>
      <c r="AJ80" s="1315"/>
      <c r="AK80" s="1315"/>
      <c r="AL80" s="1315"/>
      <c r="AM80" s="1315"/>
      <c r="AN80" s="1315"/>
      <c r="AO80" s="1315"/>
      <c r="AP80" s="1315"/>
      <c r="AQ80" s="1315"/>
      <c r="AR80" s="1406">
        <v>0</v>
      </c>
    </row>
    <row s="2983" customFormat="1" customHeight="1" ht="17.25">
      <c r="A81" s="377"/>
      <c r="C81" s="265"/>
      <c r="D81" s="2191"/>
      <c r="E81" s="2199"/>
      <c r="F81" s="2202"/>
      <c r="G81" s="3149"/>
      <c r="H81" s="3161"/>
      <c r="I81" s="3161"/>
      <c r="J81" s="3162"/>
      <c r="K81" s="3158"/>
      <c r="L81" s="3161"/>
      <c r="M81" s="3161"/>
      <c r="N81" s="3163"/>
      <c r="O81" s="3164"/>
      <c r="P81" s="3165"/>
      <c r="Q81" s="3166"/>
      <c r="R81" s="3167" t="s">
        <v>302</v>
      </c>
      <c r="S81" s="3168"/>
      <c r="T81" s="3169"/>
      <c r="U81" s="3170"/>
      <c r="V81" s="3171"/>
      <c r="W81" s="3172"/>
      <c r="Y81" s="1323"/>
      <c r="Z81" s="1323"/>
      <c r="AA81" s="1323"/>
      <c r="AB81" s="1323"/>
      <c r="AC81" s="1323"/>
      <c r="AD81" s="1323"/>
      <c r="AE81" s="1323"/>
      <c r="AF81" s="1323"/>
      <c r="AG81" s="1323"/>
      <c r="AH81" s="1323"/>
      <c r="AI81" s="1323"/>
      <c r="AJ81" s="1323"/>
      <c r="AK81" s="1323"/>
      <c r="AL81" s="1323"/>
      <c r="AM81" s="1323"/>
      <c r="AN81" s="1323"/>
      <c r="AO81" s="1323"/>
      <c r="AP81" s="1323"/>
      <c r="AQ81" s="1323"/>
      <c r="AR81" s="1497">
        <v>0</v>
      </c>
    </row>
    <row customHeight="1" ht="17.25">
      <c r="A82" s="1896"/>
      <c r="B82" s="3175"/>
      <c r="C82" s="1898"/>
      <c r="D82" s="1886"/>
      <c r="E82" s="1903"/>
      <c r="F82" s="1840"/>
      <c r="G82" s="1904"/>
      <c r="H82" s="1886"/>
      <c r="I82" s="1886"/>
      <c r="J82" s="1907"/>
      <c r="K82" s="1904"/>
      <c r="L82" s="2164" t="s">
        <v>109</v>
      </c>
      <c r="M82" s="2164" t="s">
        <v>108</v>
      </c>
      <c r="N82" s="2560" t="str">
        <f>IF(Z82="","",INDEX(TERRITORY_MR_LIST,MATCH(Z82,TERRITORY_LIST_ID,0)))</f>
        <v>Территория 2</v>
      </c>
      <c r="O82" s="2241" t="s">
        <v>19</v>
      </c>
      <c r="P82" s="2164"/>
      <c r="Q82" s="2164" t="s">
        <v>191</v>
      </c>
      <c r="R82" s="3183" t="s">
        <v>28</v>
      </c>
      <c r="S82" s="2462" t="s">
        <v>19</v>
      </c>
      <c r="T82" s="1858"/>
      <c r="U82" s="1858" t="s">
        <v>191</v>
      </c>
      <c r="V82" s="1490"/>
      <c r="W82" s="2557"/>
      <c r="X82" s="3175"/>
      <c r="Y82" s="1323"/>
      <c r="Z82" s="1323" t="s">
        <v>110</v>
      </c>
      <c r="AA82" s="1323"/>
      <c r="AB82" s="1323"/>
      <c r="AC82" s="3188" t="s">
        <v>298</v>
      </c>
      <c r="AD82" s="3188" t="s">
        <v>299</v>
      </c>
      <c r="AE82" s="1323" t="s">
        <v>303</v>
      </c>
      <c r="AF82" s="1323" t="s">
        <v>304</v>
      </c>
      <c r="AG82" s="1323" t="s">
        <v>305</v>
      </c>
      <c r="AH82" s="1323" t="str">
        <f>IF($E$79=0,"",$E$79)</f>
        <v>Тариф на питьевую воду (питьевое водоснабжение)</v>
      </c>
      <c r="AI82" s="1323" t="str">
        <f>IF($G$79=0,"",$G$79)</f>
        <v>Холодное водоснабжение. Питьевая вода</v>
      </c>
      <c r="AJ82" s="1323" t="str">
        <f>IF($J$79=0,"",$J$79)</f>
        <v>Питьевая вода</v>
      </c>
      <c r="AK82" s="1323" t="str">
        <f>IF($K$82="нет","без дифференциации",IF($N$82=0,"",$N$82))</f>
        <v>Территория 2</v>
      </c>
      <c r="AL82" s="1900" t="str">
        <f>IF($O$82="нет","без дифференциации",IF($R$82=0,"",$R$82))</f>
        <v>без дифференциации</v>
      </c>
      <c r="AM82" s="1900"/>
      <c r="AN82" s="1323">
        <f>$I$79</f>
        <v>1</v>
      </c>
      <c r="AO82" s="1323" t="str">
        <f>$I$79&amp;"."&amp;$M$82</f>
        <v>1.2</v>
      </c>
      <c r="AP82" s="1323" t="str">
        <f>$I$79&amp;"."&amp;$M$82&amp;"."&amp;$Q$82</f>
        <v>1.2.1</v>
      </c>
      <c r="AQ82" s="1323"/>
      <c r="AR82" s="3175"/>
    </row>
    <row customHeight="1" ht="17.25">
      <c r="A83" s="1896"/>
      <c r="B83" s="3175"/>
      <c r="C83" s="1901"/>
      <c r="D83" s="1886"/>
      <c r="E83" s="1903"/>
      <c r="F83" s="1840"/>
      <c r="G83" s="1904"/>
      <c r="H83" s="1886"/>
      <c r="I83" s="1886"/>
      <c r="J83" s="1907"/>
      <c r="K83" s="1904"/>
      <c r="L83" s="2164"/>
      <c r="M83" s="2164"/>
      <c r="N83" s="2560"/>
      <c r="O83" s="2242"/>
      <c r="P83" s="2164"/>
      <c r="Q83" s="2164"/>
      <c r="R83" s="3183" t="s">
        <v>28</v>
      </c>
      <c r="S83" s="2462"/>
      <c r="T83" s="1491"/>
      <c r="U83" s="1492"/>
      <c r="V83" s="1492"/>
      <c r="W83" s="2557"/>
      <c r="X83" s="3175"/>
      <c r="Y83" s="1315"/>
      <c r="Z83" s="1315"/>
      <c r="AA83" s="1315"/>
      <c r="AB83" s="1315"/>
      <c r="AC83" s="1315"/>
      <c r="AD83" s="1315"/>
      <c r="AE83" s="1315"/>
      <c r="AF83" s="1315"/>
      <c r="AG83" s="1315"/>
      <c r="AH83" s="1315"/>
      <c r="AI83" s="1315"/>
      <c r="AJ83" s="1315"/>
      <c r="AK83" s="1315"/>
      <c r="AL83" s="3175"/>
      <c r="AM83" s="3175"/>
      <c r="AN83" s="3175"/>
      <c r="AO83" s="3175"/>
      <c r="AP83" s="3175"/>
      <c r="AQ83" s="3175"/>
      <c r="AR83" s="3175"/>
    </row>
    <row customHeight="1" ht="17.25">
      <c r="A84" s="1896"/>
      <c r="B84" s="3175"/>
      <c r="C84" s="1901"/>
      <c r="D84" s="1886"/>
      <c r="E84" s="1903"/>
      <c r="F84" s="1840"/>
      <c r="G84" s="1904"/>
      <c r="H84" s="1886"/>
      <c r="I84" s="1886"/>
      <c r="J84" s="1907"/>
      <c r="K84" s="1904"/>
      <c r="L84" s="2559"/>
      <c r="M84" s="2559"/>
      <c r="N84" s="2561"/>
      <c r="O84" s="2168"/>
      <c r="P84" s="373"/>
      <c r="Q84" s="374"/>
      <c r="R84" s="374" t="s">
        <v>302</v>
      </c>
      <c r="S84" s="1902"/>
      <c r="T84" s="1902"/>
      <c r="U84" s="1902"/>
      <c r="V84" s="1902"/>
      <c r="W84" s="1489"/>
      <c r="X84" s="3175"/>
      <c r="Y84" s="1315"/>
      <c r="Z84" s="1315"/>
      <c r="AA84" s="1315"/>
      <c r="AB84" s="1315"/>
      <c r="AC84" s="1315"/>
      <c r="AD84" s="1315"/>
      <c r="AE84" s="1315"/>
      <c r="AF84" s="1315"/>
      <c r="AG84" s="1315"/>
      <c r="AH84" s="1315"/>
      <c r="AI84" s="1315"/>
      <c r="AJ84" s="1315"/>
      <c r="AK84" s="1315"/>
      <c r="AL84" s="3175"/>
      <c r="AM84" s="3175"/>
      <c r="AN84" s="3175"/>
      <c r="AO84" s="3175"/>
      <c r="AP84" s="3175"/>
      <c r="AQ84" s="3175"/>
      <c r="AR84" s="3175"/>
    </row>
    <row customHeight="1" ht="17.25">
      <c r="A85" s="1896"/>
      <c r="B85" s="3175"/>
      <c r="C85" s="1898"/>
      <c r="D85" s="1886"/>
      <c r="E85" s="1903"/>
      <c r="F85" s="1840"/>
      <c r="G85" s="1904"/>
      <c r="H85" s="1886"/>
      <c r="I85" s="1886"/>
      <c r="J85" s="1907"/>
      <c r="K85" s="1904"/>
      <c r="L85" s="2164" t="s">
        <v>109</v>
      </c>
      <c r="M85" s="2164" t="s">
        <v>94</v>
      </c>
      <c r="N85" s="2560" t="str">
        <f>IF(Z85="","",INDEX(TERRITORY_MR_LIST,MATCH(Z85,TERRITORY_LIST_ID,0)))</f>
        <v>Территория 3</v>
      </c>
      <c r="O85" s="2241" t="s">
        <v>19</v>
      </c>
      <c r="P85" s="2164"/>
      <c r="Q85" s="2164" t="s">
        <v>191</v>
      </c>
      <c r="R85" s="3183" t="s">
        <v>28</v>
      </c>
      <c r="S85" s="2462" t="s">
        <v>19</v>
      </c>
      <c r="T85" s="1858"/>
      <c r="U85" s="1858" t="s">
        <v>191</v>
      </c>
      <c r="V85" s="1490"/>
      <c r="W85" s="2557"/>
      <c r="X85" s="3175"/>
      <c r="Y85" s="1323"/>
      <c r="Z85" s="1323" t="s">
        <v>114</v>
      </c>
      <c r="AA85" s="1323"/>
      <c r="AB85" s="1323"/>
      <c r="AC85" s="3188" t="s">
        <v>298</v>
      </c>
      <c r="AD85" s="3188" t="s">
        <v>299</v>
      </c>
      <c r="AE85" s="1323" t="s">
        <v>306</v>
      </c>
      <c r="AF85" s="1323" t="s">
        <v>307</v>
      </c>
      <c r="AG85" s="1323" t="s">
        <v>308</v>
      </c>
      <c r="AH85" s="1323" t="str">
        <f>IF($E$79=0,"",$E$79)</f>
        <v>Тариф на питьевую воду (питьевое водоснабжение)</v>
      </c>
      <c r="AI85" s="1323" t="str">
        <f>IF($G$79=0,"",$G$79)</f>
        <v>Холодное водоснабжение. Питьевая вода</v>
      </c>
      <c r="AJ85" s="1323" t="str">
        <f>IF($J$79=0,"",$J$79)</f>
        <v>Питьевая вода</v>
      </c>
      <c r="AK85" s="1323" t="str">
        <f>IF($K$85="нет","без дифференциации",IF($N$85=0,"",$N$85))</f>
        <v>Территория 3</v>
      </c>
      <c r="AL85" s="1900" t="str">
        <f>IF($O$85="нет","без дифференциации",IF($R$85=0,"",$R$85))</f>
        <v>без дифференциации</v>
      </c>
      <c r="AM85" s="1900"/>
      <c r="AN85" s="1323">
        <f>$I$79</f>
        <v>1</v>
      </c>
      <c r="AO85" s="1323" t="str">
        <f>$I$79&amp;"."&amp;$M$85</f>
        <v>1.3</v>
      </c>
      <c r="AP85" s="1323" t="str">
        <f>$I$79&amp;"."&amp;$M$85&amp;"."&amp;$Q$85</f>
        <v>1.3.1</v>
      </c>
      <c r="AQ85" s="1323"/>
      <c r="AR85" s="3175"/>
    </row>
    <row customHeight="1" ht="17.25">
      <c r="A86" s="1896"/>
      <c r="B86" s="3175"/>
      <c r="C86" s="1901"/>
      <c r="D86" s="1886"/>
      <c r="E86" s="1903"/>
      <c r="F86" s="1840"/>
      <c r="G86" s="1904"/>
      <c r="H86" s="1886"/>
      <c r="I86" s="1886"/>
      <c r="J86" s="1907"/>
      <c r="K86" s="1904"/>
      <c r="L86" s="2164"/>
      <c r="M86" s="2164"/>
      <c r="N86" s="2560"/>
      <c r="O86" s="2242"/>
      <c r="P86" s="2164"/>
      <c r="Q86" s="2164"/>
      <c r="R86" s="3183" t="s">
        <v>28</v>
      </c>
      <c r="S86" s="2462"/>
      <c r="T86" s="1491"/>
      <c r="U86" s="1492"/>
      <c r="V86" s="1492"/>
      <c r="W86" s="2557"/>
      <c r="X86" s="3175"/>
      <c r="Y86" s="1315"/>
      <c r="Z86" s="1315"/>
      <c r="AA86" s="1315"/>
      <c r="AB86" s="1315"/>
      <c r="AC86" s="1315"/>
      <c r="AD86" s="1315"/>
      <c r="AE86" s="1315"/>
      <c r="AF86" s="1315"/>
      <c r="AG86" s="1315"/>
      <c r="AH86" s="1315"/>
      <c r="AI86" s="1315"/>
      <c r="AJ86" s="1315"/>
      <c r="AK86" s="1315"/>
      <c r="AL86" s="3175"/>
      <c r="AM86" s="3175"/>
      <c r="AN86" s="3175"/>
      <c r="AO86" s="3175"/>
      <c r="AP86" s="3175"/>
      <c r="AQ86" s="3175"/>
      <c r="AR86" s="3175"/>
    </row>
    <row customHeight="1" ht="17.25">
      <c r="A87" s="1896"/>
      <c r="B87" s="3175"/>
      <c r="C87" s="1901"/>
      <c r="D87" s="1886"/>
      <c r="E87" s="1903"/>
      <c r="F87" s="1840"/>
      <c r="G87" s="1904"/>
      <c r="H87" s="1886"/>
      <c r="I87" s="1886"/>
      <c r="J87" s="1907"/>
      <c r="K87" s="1904"/>
      <c r="L87" s="2559"/>
      <c r="M87" s="2559"/>
      <c r="N87" s="2561"/>
      <c r="O87" s="2168"/>
      <c r="P87" s="373"/>
      <c r="Q87" s="374"/>
      <c r="R87" s="374" t="s">
        <v>302</v>
      </c>
      <c r="S87" s="1902"/>
      <c r="T87" s="1902"/>
      <c r="U87" s="1902"/>
      <c r="V87" s="1902"/>
      <c r="W87" s="1489"/>
      <c r="X87" s="3175"/>
      <c r="Y87" s="1315"/>
      <c r="Z87" s="1315"/>
      <c r="AA87" s="1315"/>
      <c r="AB87" s="1315"/>
      <c r="AC87" s="1315"/>
      <c r="AD87" s="1315"/>
      <c r="AE87" s="1315"/>
      <c r="AF87" s="1315"/>
      <c r="AG87" s="1315"/>
      <c r="AH87" s="1315"/>
      <c r="AI87" s="1315"/>
      <c r="AJ87" s="1315"/>
      <c r="AK87" s="1315"/>
      <c r="AL87" s="3175"/>
      <c r="AM87" s="3175"/>
      <c r="AN87" s="3175"/>
      <c r="AO87" s="3175"/>
      <c r="AP87" s="3175"/>
      <c r="AQ87" s="3175"/>
      <c r="AR87" s="3175"/>
    </row>
    <row customHeight="1" ht="17.25">
      <c r="A88" s="1896"/>
      <c r="B88" s="3175"/>
      <c r="C88" s="1898"/>
      <c r="D88" s="1886"/>
      <c r="E88" s="1903"/>
      <c r="F88" s="1840"/>
      <c r="G88" s="1904"/>
      <c r="H88" s="1886"/>
      <c r="I88" s="1886"/>
      <c r="J88" s="1907"/>
      <c r="K88" s="1904"/>
      <c r="L88" s="2164" t="s">
        <v>109</v>
      </c>
      <c r="M88" s="2164" t="s">
        <v>95</v>
      </c>
      <c r="N88" s="2560" t="str">
        <f>IF(Z88="","",INDEX(TERRITORY_MR_LIST,MATCH(Z88,TERRITORY_LIST_ID,0)))</f>
        <v>Территория 4</v>
      </c>
      <c r="O88" s="2241" t="s">
        <v>19</v>
      </c>
      <c r="P88" s="2164"/>
      <c r="Q88" s="2164" t="s">
        <v>191</v>
      </c>
      <c r="R88" s="3183" t="s">
        <v>28</v>
      </c>
      <c r="S88" s="2462" t="s">
        <v>19</v>
      </c>
      <c r="T88" s="1858"/>
      <c r="U88" s="1858" t="s">
        <v>191</v>
      </c>
      <c r="V88" s="1490"/>
      <c r="W88" s="2557"/>
      <c r="X88" s="3175"/>
      <c r="Y88" s="1323"/>
      <c r="Z88" s="1323" t="s">
        <v>118</v>
      </c>
      <c r="AA88" s="1323"/>
      <c r="AB88" s="1323"/>
      <c r="AC88" s="3188" t="s">
        <v>298</v>
      </c>
      <c r="AD88" s="3188" t="s">
        <v>299</v>
      </c>
      <c r="AE88" s="1323" t="s">
        <v>309</v>
      </c>
      <c r="AF88" s="1323" t="s">
        <v>310</v>
      </c>
      <c r="AG88" s="1323" t="s">
        <v>311</v>
      </c>
      <c r="AH88" s="1323" t="str">
        <f>IF($E$79=0,"",$E$79)</f>
        <v>Тариф на питьевую воду (питьевое водоснабжение)</v>
      </c>
      <c r="AI88" s="1323" t="str">
        <f>IF($G$79=0,"",$G$79)</f>
        <v>Холодное водоснабжение. Питьевая вода</v>
      </c>
      <c r="AJ88" s="1323" t="str">
        <f>IF($J$79=0,"",$J$79)</f>
        <v>Питьевая вода</v>
      </c>
      <c r="AK88" s="1323" t="str">
        <f>IF($K$88="нет","без дифференциации",IF($N$88=0,"",$N$88))</f>
        <v>Территория 4</v>
      </c>
      <c r="AL88" s="1900" t="str">
        <f>IF($O$88="нет","без дифференциации",IF($R$88=0,"",$R$88))</f>
        <v>без дифференциации</v>
      </c>
      <c r="AM88" s="1900"/>
      <c r="AN88" s="1323">
        <f>$I$79</f>
        <v>1</v>
      </c>
      <c r="AO88" s="1323" t="str">
        <f>$I$79&amp;"."&amp;$M$88</f>
        <v>1.4</v>
      </c>
      <c r="AP88" s="1323" t="str">
        <f>$I$79&amp;"."&amp;$M$88&amp;"."&amp;$Q$88</f>
        <v>1.4.1</v>
      </c>
      <c r="AQ88" s="1323"/>
      <c r="AR88" s="3175"/>
    </row>
    <row customHeight="1" ht="17.25">
      <c r="A89" s="1896"/>
      <c r="B89" s="3175"/>
      <c r="C89" s="1901"/>
      <c r="D89" s="1886"/>
      <c r="E89" s="1903"/>
      <c r="F89" s="1840"/>
      <c r="G89" s="1904"/>
      <c r="H89" s="1886"/>
      <c r="I89" s="1886"/>
      <c r="J89" s="1907"/>
      <c r="K89" s="1904"/>
      <c r="L89" s="2164"/>
      <c r="M89" s="2164"/>
      <c r="N89" s="2560"/>
      <c r="O89" s="2242"/>
      <c r="P89" s="2164"/>
      <c r="Q89" s="2164"/>
      <c r="R89" s="3183" t="s">
        <v>28</v>
      </c>
      <c r="S89" s="2462"/>
      <c r="T89" s="1491"/>
      <c r="U89" s="1492"/>
      <c r="V89" s="1492"/>
      <c r="W89" s="2557"/>
      <c r="X89" s="3175"/>
      <c r="Y89" s="1315"/>
      <c r="Z89" s="1315"/>
      <c r="AA89" s="1315"/>
      <c r="AB89" s="1315"/>
      <c r="AC89" s="1315"/>
      <c r="AD89" s="1315"/>
      <c r="AE89" s="1315"/>
      <c r="AF89" s="1315"/>
      <c r="AG89" s="1315"/>
      <c r="AH89" s="1315"/>
      <c r="AI89" s="1315"/>
      <c r="AJ89" s="1315"/>
      <c r="AK89" s="1315"/>
      <c r="AL89" s="3175"/>
      <c r="AM89" s="3175"/>
      <c r="AN89" s="3175"/>
      <c r="AO89" s="3175"/>
      <c r="AP89" s="3175"/>
      <c r="AQ89" s="3175"/>
      <c r="AR89" s="3175"/>
    </row>
    <row customHeight="1" ht="17.25">
      <c r="A90" s="1896"/>
      <c r="B90" s="3175"/>
      <c r="C90" s="1901"/>
      <c r="D90" s="1886"/>
      <c r="E90" s="1903"/>
      <c r="F90" s="1840"/>
      <c r="G90" s="1904"/>
      <c r="H90" s="1886"/>
      <c r="I90" s="1886"/>
      <c r="J90" s="1907"/>
      <c r="K90" s="1904"/>
      <c r="L90" s="2559"/>
      <c r="M90" s="2559"/>
      <c r="N90" s="2561"/>
      <c r="O90" s="2168"/>
      <c r="P90" s="373"/>
      <c r="Q90" s="374"/>
      <c r="R90" s="374" t="s">
        <v>302</v>
      </c>
      <c r="S90" s="1902"/>
      <c r="T90" s="1902"/>
      <c r="U90" s="1902"/>
      <c r="V90" s="1902"/>
      <c r="W90" s="1489"/>
      <c r="X90" s="3175"/>
      <c r="Y90" s="1315"/>
      <c r="Z90" s="1315"/>
      <c r="AA90" s="1315"/>
      <c r="AB90" s="1315"/>
      <c r="AC90" s="1315"/>
      <c r="AD90" s="1315"/>
      <c r="AE90" s="1315"/>
      <c r="AF90" s="1315"/>
      <c r="AG90" s="1315"/>
      <c r="AH90" s="1315"/>
      <c r="AI90" s="1315"/>
      <c r="AJ90" s="1315"/>
      <c r="AK90" s="1315"/>
      <c r="AL90" s="3175"/>
      <c r="AM90" s="3175"/>
      <c r="AN90" s="3175"/>
      <c r="AO90" s="3175"/>
      <c r="AP90" s="3175"/>
      <c r="AQ90" s="3175"/>
      <c r="AR90" s="3175"/>
    </row>
    <row customHeight="1" ht="17.25">
      <c r="A91" s="1896"/>
      <c r="B91" s="3175"/>
      <c r="C91" s="1898"/>
      <c r="D91" s="1886"/>
      <c r="E91" s="1903"/>
      <c r="F91" s="1840"/>
      <c r="G91" s="1904"/>
      <c r="H91" s="1886"/>
      <c r="I91" s="1886"/>
      <c r="J91" s="1907"/>
      <c r="K91" s="1904"/>
      <c r="L91" s="2164" t="s">
        <v>109</v>
      </c>
      <c r="M91" s="2164" t="s">
        <v>122</v>
      </c>
      <c r="N91" s="2560" t="str">
        <f>IF(Z91="","",INDEX(TERRITORY_MR_LIST,MATCH(Z91,TERRITORY_LIST_ID,0)))</f>
        <v>Территория 5</v>
      </c>
      <c r="O91" s="2241" t="s">
        <v>19</v>
      </c>
      <c r="P91" s="2164"/>
      <c r="Q91" s="2164" t="s">
        <v>191</v>
      </c>
      <c r="R91" s="3183" t="s">
        <v>28</v>
      </c>
      <c r="S91" s="2462" t="s">
        <v>19</v>
      </c>
      <c r="T91" s="1858"/>
      <c r="U91" s="1858" t="s">
        <v>191</v>
      </c>
      <c r="V91" s="1490"/>
      <c r="W91" s="2557"/>
      <c r="X91" s="3175"/>
      <c r="Y91" s="1323"/>
      <c r="Z91" s="1323" t="s">
        <v>123</v>
      </c>
      <c r="AA91" s="1323"/>
      <c r="AB91" s="1323"/>
      <c r="AC91" s="3188" t="s">
        <v>298</v>
      </c>
      <c r="AD91" s="3188" t="s">
        <v>299</v>
      </c>
      <c r="AE91" s="1323" t="s">
        <v>312</v>
      </c>
      <c r="AF91" s="1323" t="s">
        <v>313</v>
      </c>
      <c r="AG91" s="1323" t="s">
        <v>314</v>
      </c>
      <c r="AH91" s="1323" t="str">
        <f>IF($E$79=0,"",$E$79)</f>
        <v>Тариф на питьевую воду (питьевое водоснабжение)</v>
      </c>
      <c r="AI91" s="1323" t="str">
        <f>IF($G$79=0,"",$G$79)</f>
        <v>Холодное водоснабжение. Питьевая вода</v>
      </c>
      <c r="AJ91" s="1323" t="str">
        <f>IF($J$79=0,"",$J$79)</f>
        <v>Питьевая вода</v>
      </c>
      <c r="AK91" s="1323" t="str">
        <f>IF($K$91="нет","без дифференциации",IF($N$91=0,"",$N$91))</f>
        <v>Территория 5</v>
      </c>
      <c r="AL91" s="1900" t="str">
        <f>IF($O$91="нет","без дифференциации",IF($R$91=0,"",$R$91))</f>
        <v>без дифференциации</v>
      </c>
      <c r="AM91" s="1900"/>
      <c r="AN91" s="1323">
        <f>$I$79</f>
        <v>1</v>
      </c>
      <c r="AO91" s="1323" t="str">
        <f>$I$79&amp;"."&amp;$M$91</f>
        <v>1.5</v>
      </c>
      <c r="AP91" s="1323" t="str">
        <f>$I$79&amp;"."&amp;$M$91&amp;"."&amp;$Q$91</f>
        <v>1.5.1</v>
      </c>
      <c r="AQ91" s="1323"/>
      <c r="AR91" s="3175"/>
    </row>
    <row customHeight="1" ht="17.25">
      <c r="A92" s="1896"/>
      <c r="B92" s="3175"/>
      <c r="C92" s="1901"/>
      <c r="D92" s="1886"/>
      <c r="E92" s="1903"/>
      <c r="F92" s="1840"/>
      <c r="G92" s="1904"/>
      <c r="H92" s="1886"/>
      <c r="I92" s="1886"/>
      <c r="J92" s="1907"/>
      <c r="K92" s="1904"/>
      <c r="L92" s="2164"/>
      <c r="M92" s="2164"/>
      <c r="N92" s="2560"/>
      <c r="O92" s="2242"/>
      <c r="P92" s="2164"/>
      <c r="Q92" s="2164"/>
      <c r="R92" s="3183" t="s">
        <v>28</v>
      </c>
      <c r="S92" s="2462"/>
      <c r="T92" s="1491"/>
      <c r="U92" s="1492"/>
      <c r="V92" s="1492"/>
      <c r="W92" s="2557"/>
      <c r="X92" s="3175"/>
      <c r="Y92" s="1315"/>
      <c r="Z92" s="1315"/>
      <c r="AA92" s="1315"/>
      <c r="AB92" s="1315"/>
      <c r="AC92" s="1315"/>
      <c r="AD92" s="1315"/>
      <c r="AE92" s="1315"/>
      <c r="AF92" s="1315"/>
      <c r="AG92" s="1315"/>
      <c r="AH92" s="1315"/>
      <c r="AI92" s="1315"/>
      <c r="AJ92" s="1315"/>
      <c r="AK92" s="1315"/>
      <c r="AL92" s="3175"/>
      <c r="AM92" s="3175"/>
      <c r="AN92" s="3175"/>
      <c r="AO92" s="3175"/>
      <c r="AP92" s="3175"/>
      <c r="AQ92" s="3175"/>
      <c r="AR92" s="3175"/>
    </row>
    <row customHeight="1" ht="17.25">
      <c r="A93" s="1896"/>
      <c r="B93" s="3175"/>
      <c r="C93" s="1901"/>
      <c r="D93" s="1886"/>
      <c r="E93" s="1903"/>
      <c r="F93" s="1840"/>
      <c r="G93" s="1904"/>
      <c r="H93" s="1886"/>
      <c r="I93" s="1886"/>
      <c r="J93" s="1907"/>
      <c r="K93" s="1904"/>
      <c r="L93" s="2559"/>
      <c r="M93" s="2559"/>
      <c r="N93" s="2561"/>
      <c r="O93" s="2168"/>
      <c r="P93" s="373"/>
      <c r="Q93" s="374"/>
      <c r="R93" s="374" t="s">
        <v>302</v>
      </c>
      <c r="S93" s="1902"/>
      <c r="T93" s="1902"/>
      <c r="U93" s="1902"/>
      <c r="V93" s="1902"/>
      <c r="W93" s="1489"/>
      <c r="X93" s="3175"/>
      <c r="Y93" s="1315"/>
      <c r="Z93" s="1315"/>
      <c r="AA93" s="1315"/>
      <c r="AB93" s="1315"/>
      <c r="AC93" s="1315"/>
      <c r="AD93" s="1315"/>
      <c r="AE93" s="1315"/>
      <c r="AF93" s="1315"/>
      <c r="AG93" s="1315"/>
      <c r="AH93" s="1315"/>
      <c r="AI93" s="1315"/>
      <c r="AJ93" s="1315"/>
      <c r="AK93" s="1315"/>
      <c r="AL93" s="3175"/>
      <c r="AM93" s="3175"/>
      <c r="AN93" s="3175"/>
      <c r="AO93" s="3175"/>
      <c r="AP93" s="3175"/>
      <c r="AQ93" s="3175"/>
      <c r="AR93" s="3175"/>
    </row>
    <row customHeight="1" ht="17.25">
      <c r="A94" s="1896"/>
      <c r="B94" s="3175"/>
      <c r="C94" s="1898"/>
      <c r="D94" s="1886"/>
      <c r="E94" s="1903"/>
      <c r="F94" s="1840"/>
      <c r="G94" s="1904"/>
      <c r="H94" s="1886"/>
      <c r="I94" s="1886"/>
      <c r="J94" s="1907"/>
      <c r="K94" s="1904"/>
      <c r="L94" s="2164" t="s">
        <v>109</v>
      </c>
      <c r="M94" s="2164" t="s">
        <v>96</v>
      </c>
      <c r="N94" s="2560" t="str">
        <f>IF(Z94="","",INDEX(TERRITORY_MR_LIST,MATCH(Z94,TERRITORY_LIST_ID,0)))</f>
        <v>Территория 6</v>
      </c>
      <c r="O94" s="2241" t="s">
        <v>65</v>
      </c>
      <c r="P94" s="2164"/>
      <c r="Q94" s="2164" t="s">
        <v>191</v>
      </c>
      <c r="R94" s="2558" t="s">
        <v>315</v>
      </c>
      <c r="S94" s="2462" t="s">
        <v>19</v>
      </c>
      <c r="T94" s="1858"/>
      <c r="U94" s="1858" t="s">
        <v>191</v>
      </c>
      <c r="V94" s="1490"/>
      <c r="W94" s="2557"/>
      <c r="X94" s="3175"/>
      <c r="Y94" s="1323"/>
      <c r="Z94" s="1323" t="s">
        <v>127</v>
      </c>
      <c r="AA94" s="1323"/>
      <c r="AB94" s="1323"/>
      <c r="AC94" s="3188" t="s">
        <v>298</v>
      </c>
      <c r="AD94" s="3188" t="s">
        <v>299</v>
      </c>
      <c r="AE94" s="1323" t="s">
        <v>316</v>
      </c>
      <c r="AF94" s="1323" t="s">
        <v>317</v>
      </c>
      <c r="AG94" s="1323" t="s">
        <v>318</v>
      </c>
      <c r="AH94" s="1323" t="str">
        <f>IF($E$79=0,"",$E$79)</f>
        <v>Тариф на питьевую воду (питьевое водоснабжение)</v>
      </c>
      <c r="AI94" s="1323" t="str">
        <f>IF($G$79=0,"",$G$79)</f>
        <v>Холодное водоснабжение. Питьевая вода</v>
      </c>
      <c r="AJ94" s="1323" t="str">
        <f>IF($J$79=0,"",$J$79)</f>
        <v>Питьевая вода</v>
      </c>
      <c r="AK94" s="1323" t="str">
        <f>IF($K$94="нет","без дифференциации",IF($N$94=0,"",$N$94))</f>
        <v>Территория 6</v>
      </c>
      <c r="AL94" s="1900" t="str">
        <f>IF($O$94="нет","без дифференциации",IF($R$94=0,"",$R$94))</f>
        <v>п. им. Маршала Жукова</v>
      </c>
      <c r="AM94" s="1900"/>
      <c r="AN94" s="1323">
        <f>$I$79</f>
        <v>1</v>
      </c>
      <c r="AO94" s="1323" t="str">
        <f>$I$79&amp;"."&amp;$M$94</f>
        <v>1.6</v>
      </c>
      <c r="AP94" s="1323" t="str">
        <f>$I$79&amp;"."&amp;$M$94&amp;"."&amp;$Q$94</f>
        <v>1.6.1</v>
      </c>
      <c r="AQ94" s="1323"/>
      <c r="AR94" s="3175"/>
    </row>
    <row customHeight="1" ht="17.25">
      <c r="A95" s="1896"/>
      <c r="B95" s="3175"/>
      <c r="C95" s="1901"/>
      <c r="D95" s="1886"/>
      <c r="E95" s="1903"/>
      <c r="F95" s="1840"/>
      <c r="G95" s="1904"/>
      <c r="H95" s="1886"/>
      <c r="I95" s="1886"/>
      <c r="J95" s="1907"/>
      <c r="K95" s="1904"/>
      <c r="L95" s="2164"/>
      <c r="M95" s="2164"/>
      <c r="N95" s="2560"/>
      <c r="O95" s="2242"/>
      <c r="P95" s="2164"/>
      <c r="Q95" s="2164"/>
      <c r="R95" s="2558"/>
      <c r="S95" s="2462"/>
      <c r="T95" s="1491"/>
      <c r="U95" s="1492"/>
      <c r="V95" s="1492"/>
      <c r="W95" s="2557"/>
      <c r="X95" s="3175"/>
      <c r="Y95" s="1315"/>
      <c r="Z95" s="1315"/>
      <c r="AA95" s="1315"/>
      <c r="AB95" s="1315"/>
      <c r="AC95" s="1315"/>
      <c r="AD95" s="1315"/>
      <c r="AE95" s="1315"/>
      <c r="AF95" s="1315"/>
      <c r="AG95" s="1315"/>
      <c r="AH95" s="1315"/>
      <c r="AI95" s="1315"/>
      <c r="AJ95" s="1315"/>
      <c r="AK95" s="1315"/>
      <c r="AL95" s="3175"/>
      <c r="AM95" s="3175"/>
      <c r="AN95" s="3175"/>
      <c r="AO95" s="3175"/>
      <c r="AP95" s="3175"/>
      <c r="AQ95" s="3175"/>
      <c r="AR95" s="3175"/>
    </row>
    <row customHeight="1" ht="17.25">
      <c r="A96" s="1896"/>
      <c r="B96" s="3175"/>
      <c r="C96" s="1898"/>
      <c r="D96" s="1886"/>
      <c r="E96" s="1903"/>
      <c r="F96" s="1840"/>
      <c r="G96" s="1904"/>
      <c r="H96" s="1886"/>
      <c r="I96" s="1886"/>
      <c r="J96" s="1907"/>
      <c r="K96" s="1904"/>
      <c r="L96" s="1886"/>
      <c r="M96" s="1886"/>
      <c r="N96" s="2104"/>
      <c r="O96" s="1843"/>
      <c r="P96" s="2164" t="s">
        <v>109</v>
      </c>
      <c r="Q96" s="2164" t="s">
        <v>108</v>
      </c>
      <c r="R96" s="2558" t="s">
        <v>319</v>
      </c>
      <c r="S96" s="2462" t="s">
        <v>19</v>
      </c>
      <c r="T96" s="1858"/>
      <c r="U96" s="1858" t="s">
        <v>191</v>
      </c>
      <c r="V96" s="1490"/>
      <c r="W96" s="2557"/>
      <c r="X96" s="3175"/>
      <c r="Y96" s="1323"/>
      <c r="Z96" s="1323"/>
      <c r="AA96" s="1323"/>
      <c r="AB96" s="1323"/>
      <c r="AC96" s="3188" t="s">
        <v>298</v>
      </c>
      <c r="AD96" s="3188" t="s">
        <v>299</v>
      </c>
      <c r="AE96" s="3188" t="s">
        <v>316</v>
      </c>
      <c r="AF96" s="1323" t="s">
        <v>320</v>
      </c>
      <c r="AG96" s="1323" t="s">
        <v>321</v>
      </c>
      <c r="AH96" s="1323" t="str">
        <f>IF($E$79=0,"",$E$79)</f>
        <v>Тариф на питьевую воду (питьевое водоснабжение)</v>
      </c>
      <c r="AI96" s="1323" t="str">
        <f>IF($G$79=0,"",$G$79)</f>
        <v>Холодное водоснабжение. Питьевая вода</v>
      </c>
      <c r="AJ96" s="1323" t="str">
        <f>IF($J$79=0,"",$J$79)</f>
        <v>Питьевая вода</v>
      </c>
      <c r="AK96" s="1323" t="str">
        <f>IF($K$94="нет","без дифференциации",IF($N$94=0,"",$N$94))</f>
        <v>Территория 6</v>
      </c>
      <c r="AL96" s="1900" t="str">
        <f>IF($O$96="нет","без дифференциации",IF($R$96=0,"",$R$96))</f>
        <v>кроме п. им. Маршала Жукова</v>
      </c>
      <c r="AM96" s="1900"/>
      <c r="AN96" s="1323">
        <f>$I$79</f>
        <v>1</v>
      </c>
      <c r="AO96" s="1323" t="str">
        <f>$I$79&amp;"."&amp;$M$94</f>
        <v>1.6</v>
      </c>
      <c r="AP96" s="1323" t="str">
        <f>$I$79&amp;"."&amp;$M$94&amp;"."&amp;$Q$96</f>
        <v>1.6.2</v>
      </c>
      <c r="AQ96" s="1323"/>
      <c r="AR96" s="3175"/>
    </row>
    <row customHeight="1" ht="17.25">
      <c r="A97" s="1896"/>
      <c r="B97" s="3175"/>
      <c r="C97" s="1901"/>
      <c r="D97" s="1886"/>
      <c r="E97" s="1903"/>
      <c r="F97" s="1840"/>
      <c r="G97" s="1904"/>
      <c r="H97" s="1886"/>
      <c r="I97" s="1886"/>
      <c r="J97" s="1907"/>
      <c r="K97" s="1904"/>
      <c r="L97" s="1886"/>
      <c r="M97" s="1886"/>
      <c r="N97" s="2104"/>
      <c r="O97" s="1843"/>
      <c r="P97" s="2164"/>
      <c r="Q97" s="2164"/>
      <c r="R97" s="2558"/>
      <c r="S97" s="2462"/>
      <c r="T97" s="1491"/>
      <c r="U97" s="1492"/>
      <c r="V97" s="1492"/>
      <c r="W97" s="2557"/>
      <c r="X97" s="3175"/>
      <c r="Y97" s="1315"/>
      <c r="Z97" s="1315"/>
      <c r="AA97" s="1315"/>
      <c r="AB97" s="1315"/>
      <c r="AC97" s="1315"/>
      <c r="AD97" s="1315"/>
      <c r="AE97" s="1315"/>
      <c r="AF97" s="1315"/>
      <c r="AG97" s="1315"/>
      <c r="AH97" s="1315"/>
      <c r="AI97" s="1315"/>
      <c r="AJ97" s="1315"/>
      <c r="AK97" s="1315"/>
      <c r="AL97" s="3175"/>
      <c r="AM97" s="3175"/>
      <c r="AN97" s="3175"/>
      <c r="AO97" s="3175"/>
      <c r="AP97" s="3175"/>
      <c r="AQ97" s="3175"/>
      <c r="AR97" s="3175"/>
    </row>
    <row customHeight="1" ht="17.25">
      <c r="A98" s="1896"/>
      <c r="B98" s="3175"/>
      <c r="C98" s="1901"/>
      <c r="D98" s="1886"/>
      <c r="E98" s="1903"/>
      <c r="F98" s="1840"/>
      <c r="G98" s="1904"/>
      <c r="H98" s="1886"/>
      <c r="I98" s="1886"/>
      <c r="J98" s="1907"/>
      <c r="K98" s="1904"/>
      <c r="L98" s="2559"/>
      <c r="M98" s="2559"/>
      <c r="N98" s="2561"/>
      <c r="O98" s="2168"/>
      <c r="P98" s="373"/>
      <c r="Q98" s="374"/>
      <c r="R98" s="374" t="s">
        <v>302</v>
      </c>
      <c r="S98" s="1902"/>
      <c r="T98" s="1902"/>
      <c r="U98" s="1902"/>
      <c r="V98" s="1902"/>
      <c r="W98" s="1489"/>
      <c r="X98" s="3175"/>
      <c r="Y98" s="1315"/>
      <c r="Z98" s="1315"/>
      <c r="AA98" s="1315"/>
      <c r="AB98" s="1315"/>
      <c r="AC98" s="1315"/>
      <c r="AD98" s="1315"/>
      <c r="AE98" s="1315"/>
      <c r="AF98" s="1315"/>
      <c r="AG98" s="1315"/>
      <c r="AH98" s="1315"/>
      <c r="AI98" s="1315"/>
      <c r="AJ98" s="1315"/>
      <c r="AK98" s="1315"/>
      <c r="AL98" s="3175"/>
      <c r="AM98" s="3175"/>
      <c r="AN98" s="3175"/>
      <c r="AO98" s="3175"/>
      <c r="AP98" s="3175"/>
      <c r="AQ98" s="3175"/>
      <c r="AR98" s="3175"/>
    </row>
    <row customHeight="1" ht="17.25">
      <c r="A99" s="1896"/>
      <c r="B99" s="3175"/>
      <c r="C99" s="1898"/>
      <c r="D99" s="1886"/>
      <c r="E99" s="1903"/>
      <c r="F99" s="1840"/>
      <c r="G99" s="1904"/>
      <c r="H99" s="1886"/>
      <c r="I99" s="1886"/>
      <c r="J99" s="1907"/>
      <c r="K99" s="1904"/>
      <c r="L99" s="2164" t="s">
        <v>109</v>
      </c>
      <c r="M99" s="2164" t="s">
        <v>97</v>
      </c>
      <c r="N99" s="2560" t="str">
        <f>IF(Z99="","",INDEX(TERRITORY_MR_LIST,MATCH(Z99,TERRITORY_LIST_ID,0)))</f>
        <v>Территория 7</v>
      </c>
      <c r="O99" s="2241" t="s">
        <v>19</v>
      </c>
      <c r="P99" s="2164"/>
      <c r="Q99" s="2164" t="s">
        <v>191</v>
      </c>
      <c r="R99" s="3183" t="s">
        <v>28</v>
      </c>
      <c r="S99" s="2462" t="s">
        <v>19</v>
      </c>
      <c r="T99" s="1858"/>
      <c r="U99" s="1858" t="s">
        <v>191</v>
      </c>
      <c r="V99" s="1490"/>
      <c r="W99" s="2557"/>
      <c r="X99" s="3175"/>
      <c r="Y99" s="1323"/>
      <c r="Z99" s="1323" t="s">
        <v>131</v>
      </c>
      <c r="AA99" s="1323"/>
      <c r="AB99" s="1323"/>
      <c r="AC99" s="3188" t="s">
        <v>298</v>
      </c>
      <c r="AD99" s="3188" t="s">
        <v>299</v>
      </c>
      <c r="AE99" s="1323" t="s">
        <v>322</v>
      </c>
      <c r="AF99" s="1323" t="s">
        <v>323</v>
      </c>
      <c r="AG99" s="1323" t="s">
        <v>324</v>
      </c>
      <c r="AH99" s="1323" t="str">
        <f>IF($E$79=0,"",$E$79)</f>
        <v>Тариф на питьевую воду (питьевое водоснабжение)</v>
      </c>
      <c r="AI99" s="1323" t="str">
        <f>IF($G$79=0,"",$G$79)</f>
        <v>Холодное водоснабжение. Питьевая вода</v>
      </c>
      <c r="AJ99" s="1323" t="str">
        <f>IF($J$79=0,"",$J$79)</f>
        <v>Питьевая вода</v>
      </c>
      <c r="AK99" s="1323" t="str">
        <f>IF($K$99="нет","без дифференциации",IF($N$99=0,"",$N$99))</f>
        <v>Территория 7</v>
      </c>
      <c r="AL99" s="1900" t="str">
        <f>IF($O$99="нет","без дифференциации",IF($R$99=0,"",$R$99))</f>
        <v>без дифференциации</v>
      </c>
      <c r="AM99" s="1900"/>
      <c r="AN99" s="1323">
        <f>$I$79</f>
        <v>1</v>
      </c>
      <c r="AO99" s="1323" t="str">
        <f>$I$79&amp;"."&amp;$M$99</f>
        <v>1.7</v>
      </c>
      <c r="AP99" s="1323" t="str">
        <f>$I$79&amp;"."&amp;$M$99&amp;"."&amp;$Q$99</f>
        <v>1.7.1</v>
      </c>
      <c r="AQ99" s="1323"/>
      <c r="AR99" s="3175"/>
    </row>
    <row customHeight="1" ht="17.25">
      <c r="A100" s="1896"/>
      <c r="B100" s="3175"/>
      <c r="C100" s="1901"/>
      <c r="D100" s="1886"/>
      <c r="E100" s="1903"/>
      <c r="F100" s="1840"/>
      <c r="G100" s="1904"/>
      <c r="H100" s="1886"/>
      <c r="I100" s="1886"/>
      <c r="J100" s="1907"/>
      <c r="K100" s="1904"/>
      <c r="L100" s="2164"/>
      <c r="M100" s="2164"/>
      <c r="N100" s="2560"/>
      <c r="O100" s="2242"/>
      <c r="P100" s="2164"/>
      <c r="Q100" s="2164"/>
      <c r="R100" s="3183" t="s">
        <v>28</v>
      </c>
      <c r="S100" s="2462"/>
      <c r="T100" s="1491"/>
      <c r="U100" s="1492"/>
      <c r="V100" s="1492"/>
      <c r="W100" s="2557"/>
      <c r="X100" s="3175"/>
      <c r="Y100" s="1315"/>
      <c r="Z100" s="1315"/>
      <c r="AA100" s="1315"/>
      <c r="AB100" s="1315"/>
      <c r="AC100" s="1315"/>
      <c r="AD100" s="1315"/>
      <c r="AE100" s="1315"/>
      <c r="AF100" s="1315"/>
      <c r="AG100" s="1315"/>
      <c r="AH100" s="1315"/>
      <c r="AI100" s="1315"/>
      <c r="AJ100" s="1315"/>
      <c r="AK100" s="1315"/>
      <c r="AL100" s="3175"/>
      <c r="AM100" s="3175"/>
      <c r="AN100" s="3175"/>
      <c r="AO100" s="3175"/>
      <c r="AP100" s="3175"/>
      <c r="AQ100" s="3175"/>
      <c r="AR100" s="3175"/>
    </row>
    <row customHeight="1" ht="17.25">
      <c r="A101" s="1896"/>
      <c r="B101" s="3175"/>
      <c r="C101" s="1901"/>
      <c r="D101" s="1886"/>
      <c r="E101" s="1903"/>
      <c r="F101" s="1840"/>
      <c r="G101" s="1904"/>
      <c r="H101" s="1886"/>
      <c r="I101" s="1886"/>
      <c r="J101" s="1907"/>
      <c r="K101" s="1904"/>
      <c r="L101" s="2559"/>
      <c r="M101" s="2559"/>
      <c r="N101" s="2561"/>
      <c r="O101" s="2168"/>
      <c r="P101" s="373"/>
      <c r="Q101" s="374"/>
      <c r="R101" s="374" t="s">
        <v>302</v>
      </c>
      <c r="S101" s="1902"/>
      <c r="T101" s="1902"/>
      <c r="U101" s="1902"/>
      <c r="V101" s="1902"/>
      <c r="W101" s="1489"/>
      <c r="X101" s="3175"/>
      <c r="Y101" s="1315"/>
      <c r="Z101" s="1315"/>
      <c r="AA101" s="1315"/>
      <c r="AB101" s="1315"/>
      <c r="AC101" s="1315"/>
      <c r="AD101" s="1315"/>
      <c r="AE101" s="1315"/>
      <c r="AF101" s="1315"/>
      <c r="AG101" s="1315"/>
      <c r="AH101" s="1315"/>
      <c r="AI101" s="1315"/>
      <c r="AJ101" s="1315"/>
      <c r="AK101" s="1315"/>
      <c r="AL101" s="3175"/>
      <c r="AM101" s="3175"/>
      <c r="AN101" s="3175"/>
      <c r="AO101" s="3175"/>
      <c r="AP101" s="3175"/>
      <c r="AQ101" s="3175"/>
      <c r="AR101" s="3175"/>
    </row>
    <row customHeight="1" ht="17.25">
      <c r="A102" s="1896"/>
      <c r="B102" s="3175"/>
      <c r="C102" s="1898"/>
      <c r="D102" s="1886"/>
      <c r="E102" s="1903"/>
      <c r="F102" s="1840"/>
      <c r="G102" s="1904"/>
      <c r="H102" s="1886"/>
      <c r="I102" s="1886"/>
      <c r="J102" s="1907"/>
      <c r="K102" s="1904"/>
      <c r="L102" s="2164" t="s">
        <v>109</v>
      </c>
      <c r="M102" s="2164" t="s">
        <v>135</v>
      </c>
      <c r="N102" s="2560" t="str">
        <f>IF(Z102="","",INDEX(TERRITORY_MR_LIST,MATCH(Z102,TERRITORY_LIST_ID,0)))</f>
        <v>Территория 8</v>
      </c>
      <c r="O102" s="2241" t="s">
        <v>19</v>
      </c>
      <c r="P102" s="2164"/>
      <c r="Q102" s="2164" t="s">
        <v>191</v>
      </c>
      <c r="R102" s="3183" t="s">
        <v>28</v>
      </c>
      <c r="S102" s="2462" t="s">
        <v>19</v>
      </c>
      <c r="T102" s="1858"/>
      <c r="U102" s="1858" t="s">
        <v>191</v>
      </c>
      <c r="V102" s="1490"/>
      <c r="W102" s="2557"/>
      <c r="X102" s="3175"/>
      <c r="Y102" s="1323"/>
      <c r="Z102" s="1323" t="s">
        <v>136</v>
      </c>
      <c r="AA102" s="1323"/>
      <c r="AB102" s="1323"/>
      <c r="AC102" s="3188" t="s">
        <v>298</v>
      </c>
      <c r="AD102" s="3188" t="s">
        <v>299</v>
      </c>
      <c r="AE102" s="1323" t="s">
        <v>325</v>
      </c>
      <c r="AF102" s="1323" t="s">
        <v>326</v>
      </c>
      <c r="AG102" s="1323" t="s">
        <v>327</v>
      </c>
      <c r="AH102" s="1323" t="str">
        <f>IF($E$79=0,"",$E$79)</f>
        <v>Тариф на питьевую воду (питьевое водоснабжение)</v>
      </c>
      <c r="AI102" s="1323" t="str">
        <f>IF($G$79=0,"",$G$79)</f>
        <v>Холодное водоснабжение. Питьевая вода</v>
      </c>
      <c r="AJ102" s="1323" t="str">
        <f>IF($J$79=0,"",$J$79)</f>
        <v>Питьевая вода</v>
      </c>
      <c r="AK102" s="1323" t="str">
        <f>IF($K$102="нет","без дифференциации",IF($N$102=0,"",$N$102))</f>
        <v>Территория 8</v>
      </c>
      <c r="AL102" s="1900" t="str">
        <f>IF($O$102="нет","без дифференциации",IF($R$102=0,"",$R$102))</f>
        <v>без дифференциации</v>
      </c>
      <c r="AM102" s="1900"/>
      <c r="AN102" s="1323">
        <f>$I$79</f>
        <v>1</v>
      </c>
      <c r="AO102" s="1323" t="str">
        <f>$I$79&amp;"."&amp;$M$102</f>
        <v>1.8</v>
      </c>
      <c r="AP102" s="1323" t="str">
        <f>$I$79&amp;"."&amp;$M$102&amp;"."&amp;$Q$102</f>
        <v>1.8.1</v>
      </c>
      <c r="AQ102" s="1323"/>
      <c r="AR102" s="3175"/>
    </row>
    <row customHeight="1" ht="17.25">
      <c r="A103" s="1896"/>
      <c r="B103" s="3175"/>
      <c r="C103" s="1901"/>
      <c r="D103" s="1886"/>
      <c r="E103" s="1903"/>
      <c r="F103" s="1840"/>
      <c r="G103" s="1904"/>
      <c r="H103" s="1886"/>
      <c r="I103" s="1886"/>
      <c r="J103" s="1907"/>
      <c r="K103" s="1904"/>
      <c r="L103" s="2164"/>
      <c r="M103" s="2164"/>
      <c r="N103" s="2560"/>
      <c r="O103" s="2242"/>
      <c r="P103" s="2164"/>
      <c r="Q103" s="2164"/>
      <c r="R103" s="3183" t="s">
        <v>28</v>
      </c>
      <c r="S103" s="2462"/>
      <c r="T103" s="1491"/>
      <c r="U103" s="1492"/>
      <c r="V103" s="1492"/>
      <c r="W103" s="2557"/>
      <c r="X103" s="3175"/>
      <c r="Y103" s="1315"/>
      <c r="Z103" s="1315"/>
      <c r="AA103" s="1315"/>
      <c r="AB103" s="1315"/>
      <c r="AC103" s="1315"/>
      <c r="AD103" s="1315"/>
      <c r="AE103" s="1315"/>
      <c r="AF103" s="1315"/>
      <c r="AG103" s="1315"/>
      <c r="AH103" s="1315"/>
      <c r="AI103" s="1315"/>
      <c r="AJ103" s="1315"/>
      <c r="AK103" s="1315"/>
      <c r="AL103" s="3175"/>
      <c r="AM103" s="3175"/>
      <c r="AN103" s="3175"/>
      <c r="AO103" s="3175"/>
      <c r="AP103" s="3175"/>
      <c r="AQ103" s="3175"/>
      <c r="AR103" s="3175"/>
    </row>
    <row customHeight="1" ht="17.25">
      <c r="A104" s="1896"/>
      <c r="B104" s="3175"/>
      <c r="C104" s="1901"/>
      <c r="D104" s="1886"/>
      <c r="E104" s="1903"/>
      <c r="F104" s="1840"/>
      <c r="G104" s="1904"/>
      <c r="H104" s="1886"/>
      <c r="I104" s="1886"/>
      <c r="J104" s="1907"/>
      <c r="K104" s="1904"/>
      <c r="L104" s="2559"/>
      <c r="M104" s="2559"/>
      <c r="N104" s="2561"/>
      <c r="O104" s="2168"/>
      <c r="P104" s="373"/>
      <c r="Q104" s="374"/>
      <c r="R104" s="374" t="s">
        <v>302</v>
      </c>
      <c r="S104" s="1902"/>
      <c r="T104" s="1902"/>
      <c r="U104" s="1902"/>
      <c r="V104" s="1902"/>
      <c r="W104" s="1489"/>
      <c r="X104" s="3175"/>
      <c r="Y104" s="1315"/>
      <c r="Z104" s="1315"/>
      <c r="AA104" s="1315"/>
      <c r="AB104" s="1315"/>
      <c r="AC104" s="1315"/>
      <c r="AD104" s="1315"/>
      <c r="AE104" s="1315"/>
      <c r="AF104" s="1315"/>
      <c r="AG104" s="1315"/>
      <c r="AH104" s="1315"/>
      <c r="AI104" s="1315"/>
      <c r="AJ104" s="1315"/>
      <c r="AK104" s="1315"/>
      <c r="AL104" s="3175"/>
      <c r="AM104" s="3175"/>
      <c r="AN104" s="3175"/>
      <c r="AO104" s="3175"/>
      <c r="AP104" s="3175"/>
      <c r="AQ104" s="3175"/>
      <c r="AR104" s="3175"/>
    </row>
    <row customHeight="1" ht="17.25">
      <c r="A105" s="1896"/>
      <c r="B105" s="3175"/>
      <c r="C105" s="1898"/>
      <c r="D105" s="1886"/>
      <c r="E105" s="1903"/>
      <c r="F105" s="1840"/>
      <c r="G105" s="1904"/>
      <c r="H105" s="1886"/>
      <c r="I105" s="1886"/>
      <c r="J105" s="1907"/>
      <c r="K105" s="1904"/>
      <c r="L105" s="2164" t="s">
        <v>109</v>
      </c>
      <c r="M105" s="2164" t="s">
        <v>140</v>
      </c>
      <c r="N105" s="2560" t="str">
        <f>IF(Z105="","",INDEX(TERRITORY_MR_LIST,MATCH(Z105,TERRITORY_LIST_ID,0)))</f>
        <v>Территория 9</v>
      </c>
      <c r="O105" s="2241" t="s">
        <v>19</v>
      </c>
      <c r="P105" s="2164"/>
      <c r="Q105" s="2164" t="s">
        <v>191</v>
      </c>
      <c r="R105" s="3183" t="s">
        <v>28</v>
      </c>
      <c r="S105" s="2462" t="s">
        <v>19</v>
      </c>
      <c r="T105" s="1858"/>
      <c r="U105" s="1858" t="s">
        <v>191</v>
      </c>
      <c r="V105" s="1490"/>
      <c r="W105" s="2557"/>
      <c r="X105" s="3175"/>
      <c r="Y105" s="1323"/>
      <c r="Z105" s="1323" t="s">
        <v>141</v>
      </c>
      <c r="AA105" s="1323"/>
      <c r="AB105" s="1323"/>
      <c r="AC105" s="3188" t="s">
        <v>298</v>
      </c>
      <c r="AD105" s="3188" t="s">
        <v>299</v>
      </c>
      <c r="AE105" s="1323" t="s">
        <v>328</v>
      </c>
      <c r="AF105" s="1323" t="s">
        <v>329</v>
      </c>
      <c r="AG105" s="1323" t="s">
        <v>330</v>
      </c>
      <c r="AH105" s="1323" t="str">
        <f>IF($E$79=0,"",$E$79)</f>
        <v>Тариф на питьевую воду (питьевое водоснабжение)</v>
      </c>
      <c r="AI105" s="1323" t="str">
        <f>IF($G$79=0,"",$G$79)</f>
        <v>Холодное водоснабжение. Питьевая вода</v>
      </c>
      <c r="AJ105" s="1323" t="str">
        <f>IF($J$79=0,"",$J$79)</f>
        <v>Питьевая вода</v>
      </c>
      <c r="AK105" s="1323" t="str">
        <f>IF($K$105="нет","без дифференциации",IF($N$105=0,"",$N$105))</f>
        <v>Территория 9</v>
      </c>
      <c r="AL105" s="1900" t="str">
        <f>IF($O$105="нет","без дифференциации",IF($R$105=0,"",$R$105))</f>
        <v>без дифференциации</v>
      </c>
      <c r="AM105" s="1900"/>
      <c r="AN105" s="1323">
        <f>$I$79</f>
        <v>1</v>
      </c>
      <c r="AO105" s="1323" t="str">
        <f>$I$79&amp;"."&amp;$M$105</f>
        <v>1.9</v>
      </c>
      <c r="AP105" s="1323" t="str">
        <f>$I$79&amp;"."&amp;$M$105&amp;"."&amp;$Q$105</f>
        <v>1.9.1</v>
      </c>
      <c r="AQ105" s="1323"/>
      <c r="AR105" s="3175"/>
    </row>
    <row customHeight="1" ht="17.25">
      <c r="A106" s="1896"/>
      <c r="B106" s="3175"/>
      <c r="C106" s="1901"/>
      <c r="D106" s="1886"/>
      <c r="E106" s="1903"/>
      <c r="F106" s="1840"/>
      <c r="G106" s="1904"/>
      <c r="H106" s="1886"/>
      <c r="I106" s="1886"/>
      <c r="J106" s="1907"/>
      <c r="K106" s="1904"/>
      <c r="L106" s="2164"/>
      <c r="M106" s="2164"/>
      <c r="N106" s="2560"/>
      <c r="O106" s="2242"/>
      <c r="P106" s="2164"/>
      <c r="Q106" s="2164"/>
      <c r="R106" s="3183" t="s">
        <v>28</v>
      </c>
      <c r="S106" s="2462"/>
      <c r="T106" s="1491"/>
      <c r="U106" s="1492"/>
      <c r="V106" s="1492"/>
      <c r="W106" s="2557"/>
      <c r="X106" s="3175"/>
      <c r="Y106" s="1315"/>
      <c r="Z106" s="1315"/>
      <c r="AA106" s="1315"/>
      <c r="AB106" s="1315"/>
      <c r="AC106" s="1315"/>
      <c r="AD106" s="1315"/>
      <c r="AE106" s="1315"/>
      <c r="AF106" s="1315"/>
      <c r="AG106" s="1315"/>
      <c r="AH106" s="1315"/>
      <c r="AI106" s="1315"/>
      <c r="AJ106" s="1315"/>
      <c r="AK106" s="1315"/>
      <c r="AL106" s="3175"/>
      <c r="AM106" s="3175"/>
      <c r="AN106" s="3175"/>
      <c r="AO106" s="3175"/>
      <c r="AP106" s="3175"/>
      <c r="AQ106" s="3175"/>
      <c r="AR106" s="3175"/>
    </row>
    <row customHeight="1" ht="17.25">
      <c r="A107" s="1896"/>
      <c r="B107" s="3175"/>
      <c r="C107" s="1901"/>
      <c r="D107" s="1886"/>
      <c r="E107" s="1903"/>
      <c r="F107" s="1840"/>
      <c r="G107" s="1904"/>
      <c r="H107" s="1886"/>
      <c r="I107" s="1886"/>
      <c r="J107" s="1907"/>
      <c r="K107" s="1904"/>
      <c r="L107" s="2559"/>
      <c r="M107" s="2559"/>
      <c r="N107" s="2561"/>
      <c r="O107" s="2168"/>
      <c r="P107" s="373"/>
      <c r="Q107" s="374"/>
      <c r="R107" s="374" t="s">
        <v>302</v>
      </c>
      <c r="S107" s="1902"/>
      <c r="T107" s="1902"/>
      <c r="U107" s="1902"/>
      <c r="V107" s="1902"/>
      <c r="W107" s="1489"/>
      <c r="X107" s="3175"/>
      <c r="Y107" s="1315"/>
      <c r="Z107" s="1315"/>
      <c r="AA107" s="1315"/>
      <c r="AB107" s="1315"/>
      <c r="AC107" s="1315"/>
      <c r="AD107" s="1315"/>
      <c r="AE107" s="1315"/>
      <c r="AF107" s="1315"/>
      <c r="AG107" s="1315"/>
      <c r="AH107" s="1315"/>
      <c r="AI107" s="1315"/>
      <c r="AJ107" s="1315"/>
      <c r="AK107" s="1315"/>
      <c r="AL107" s="3175"/>
      <c r="AM107" s="3175"/>
      <c r="AN107" s="3175"/>
      <c r="AO107" s="3175"/>
      <c r="AP107" s="3175"/>
      <c r="AQ107" s="3175"/>
      <c r="AR107" s="3175"/>
    </row>
    <row customHeight="1" ht="17.25">
      <c r="A108" s="1896"/>
      <c r="B108" s="3175"/>
      <c r="C108" s="1898"/>
      <c r="D108" s="1886"/>
      <c r="E108" s="1903"/>
      <c r="F108" s="1840"/>
      <c r="G108" s="1904"/>
      <c r="H108" s="1886"/>
      <c r="I108" s="1886"/>
      <c r="J108" s="1907"/>
      <c r="K108" s="1904"/>
      <c r="L108" s="2164" t="s">
        <v>109</v>
      </c>
      <c r="M108" s="2164" t="s">
        <v>145</v>
      </c>
      <c r="N108" s="2560" t="str">
        <f>IF(Z108="","",INDEX(TERRITORY_MR_LIST,MATCH(Z108,TERRITORY_LIST_ID,0)))</f>
        <v>Территория 10</v>
      </c>
      <c r="O108" s="2241" t="s">
        <v>19</v>
      </c>
      <c r="P108" s="2164"/>
      <c r="Q108" s="2164" t="s">
        <v>191</v>
      </c>
      <c r="R108" s="3183" t="s">
        <v>28</v>
      </c>
      <c r="S108" s="2462" t="s">
        <v>19</v>
      </c>
      <c r="T108" s="1858"/>
      <c r="U108" s="1858" t="s">
        <v>191</v>
      </c>
      <c r="V108" s="1490"/>
      <c r="W108" s="2557"/>
      <c r="X108" s="3175"/>
      <c r="Y108" s="1323"/>
      <c r="Z108" s="1323" t="s">
        <v>146</v>
      </c>
      <c r="AA108" s="1323"/>
      <c r="AB108" s="1323"/>
      <c r="AC108" s="3188" t="s">
        <v>298</v>
      </c>
      <c r="AD108" s="3188" t="s">
        <v>299</v>
      </c>
      <c r="AE108" s="1323" t="s">
        <v>331</v>
      </c>
      <c r="AF108" s="1323" t="s">
        <v>332</v>
      </c>
      <c r="AG108" s="1323" t="s">
        <v>333</v>
      </c>
      <c r="AH108" s="1323" t="str">
        <f>IF($E$79=0,"",$E$79)</f>
        <v>Тариф на питьевую воду (питьевое водоснабжение)</v>
      </c>
      <c r="AI108" s="1323" t="str">
        <f>IF($G$79=0,"",$G$79)</f>
        <v>Холодное водоснабжение. Питьевая вода</v>
      </c>
      <c r="AJ108" s="1323" t="str">
        <f>IF($J$79=0,"",$J$79)</f>
        <v>Питьевая вода</v>
      </c>
      <c r="AK108" s="1323" t="str">
        <f>IF($K$108="нет","без дифференциации",IF($N$108=0,"",$N$108))</f>
        <v>Территория 10</v>
      </c>
      <c r="AL108" s="1900" t="str">
        <f>IF($O$108="нет","без дифференциации",IF($R$108=0,"",$R$108))</f>
        <v>без дифференциации</v>
      </c>
      <c r="AM108" s="1900"/>
      <c r="AN108" s="1323">
        <f>$I$79</f>
        <v>1</v>
      </c>
      <c r="AO108" s="1323" t="str">
        <f>$I$79&amp;"."&amp;$M$108</f>
        <v>1.10</v>
      </c>
      <c r="AP108" s="1323" t="str">
        <f>$I$79&amp;"."&amp;$M$108&amp;"."&amp;$Q$108</f>
        <v>1.10.1</v>
      </c>
      <c r="AQ108" s="1323"/>
      <c r="AR108" s="3175"/>
    </row>
    <row customHeight="1" ht="17.25">
      <c r="A109" s="1896"/>
      <c r="B109" s="3175"/>
      <c r="C109" s="1901"/>
      <c r="D109" s="1886"/>
      <c r="E109" s="1903"/>
      <c r="F109" s="1840"/>
      <c r="G109" s="1904"/>
      <c r="H109" s="1886"/>
      <c r="I109" s="1886"/>
      <c r="J109" s="1907"/>
      <c r="K109" s="1904"/>
      <c r="L109" s="2164"/>
      <c r="M109" s="2164"/>
      <c r="N109" s="2560"/>
      <c r="O109" s="2242"/>
      <c r="P109" s="2164"/>
      <c r="Q109" s="2164"/>
      <c r="R109" s="3183" t="s">
        <v>28</v>
      </c>
      <c r="S109" s="2462"/>
      <c r="T109" s="1491"/>
      <c r="U109" s="1492"/>
      <c r="V109" s="1492"/>
      <c r="W109" s="2557"/>
      <c r="X109" s="3175"/>
      <c r="Y109" s="1315"/>
      <c r="Z109" s="1315"/>
      <c r="AA109" s="1315"/>
      <c r="AB109" s="1315"/>
      <c r="AC109" s="1315"/>
      <c r="AD109" s="1315"/>
      <c r="AE109" s="1315"/>
      <c r="AF109" s="1315"/>
      <c r="AG109" s="1315"/>
      <c r="AH109" s="1315"/>
      <c r="AI109" s="1315"/>
      <c r="AJ109" s="1315"/>
      <c r="AK109" s="1315"/>
      <c r="AL109" s="3175"/>
      <c r="AM109" s="3175"/>
      <c r="AN109" s="3175"/>
      <c r="AO109" s="3175"/>
      <c r="AP109" s="3175"/>
      <c r="AQ109" s="3175"/>
      <c r="AR109" s="3175"/>
    </row>
    <row customHeight="1" ht="17.25">
      <c r="A110" s="1896"/>
      <c r="B110" s="3175"/>
      <c r="C110" s="1901"/>
      <c r="D110" s="1886"/>
      <c r="E110" s="1903"/>
      <c r="F110" s="1840"/>
      <c r="G110" s="1904"/>
      <c r="H110" s="1886"/>
      <c r="I110" s="1886"/>
      <c r="J110" s="1907"/>
      <c r="K110" s="1904"/>
      <c r="L110" s="2559"/>
      <c r="M110" s="2559"/>
      <c r="N110" s="2561"/>
      <c r="O110" s="2168"/>
      <c r="P110" s="373"/>
      <c r="Q110" s="374"/>
      <c r="R110" s="374" t="s">
        <v>302</v>
      </c>
      <c r="S110" s="1902"/>
      <c r="T110" s="1902"/>
      <c r="U110" s="1902"/>
      <c r="V110" s="1902"/>
      <c r="W110" s="1489"/>
      <c r="X110" s="3175"/>
      <c r="Y110" s="1315"/>
      <c r="Z110" s="1315"/>
      <c r="AA110" s="1315"/>
      <c r="AB110" s="1315"/>
      <c r="AC110" s="1315"/>
      <c r="AD110" s="1315"/>
      <c r="AE110" s="1315"/>
      <c r="AF110" s="1315"/>
      <c r="AG110" s="1315"/>
      <c r="AH110" s="1315"/>
      <c r="AI110" s="1315"/>
      <c r="AJ110" s="1315"/>
      <c r="AK110" s="1315"/>
      <c r="AL110" s="3175"/>
      <c r="AM110" s="3175"/>
      <c r="AN110" s="3175"/>
      <c r="AO110" s="3175"/>
      <c r="AP110" s="3175"/>
      <c r="AQ110" s="3175"/>
      <c r="AR110" s="3175"/>
    </row>
    <row customHeight="1" ht="17.25">
      <c r="A111" s="1896"/>
      <c r="B111" s="3175"/>
      <c r="C111" s="1898"/>
      <c r="D111" s="1886"/>
      <c r="E111" s="1903"/>
      <c r="F111" s="1840"/>
      <c r="G111" s="1904"/>
      <c r="H111" s="1886"/>
      <c r="I111" s="1886"/>
      <c r="J111" s="1907"/>
      <c r="K111" s="1904"/>
      <c r="L111" s="2164" t="s">
        <v>109</v>
      </c>
      <c r="M111" s="2164" t="s">
        <v>150</v>
      </c>
      <c r="N111" s="2560" t="str">
        <f>IF(Z111="","",INDEX(TERRITORY_MR_LIST,MATCH(Z111,TERRITORY_LIST_ID,0)))</f>
        <v>Территория 11</v>
      </c>
      <c r="O111" s="2241" t="s">
        <v>19</v>
      </c>
      <c r="P111" s="2164"/>
      <c r="Q111" s="2164" t="s">
        <v>191</v>
      </c>
      <c r="R111" s="3183" t="s">
        <v>28</v>
      </c>
      <c r="S111" s="2462" t="s">
        <v>19</v>
      </c>
      <c r="T111" s="1858"/>
      <c r="U111" s="1858" t="s">
        <v>191</v>
      </c>
      <c r="V111" s="1490"/>
      <c r="W111" s="2557"/>
      <c r="X111" s="3175"/>
      <c r="Y111" s="1323"/>
      <c r="Z111" s="1323" t="s">
        <v>151</v>
      </c>
      <c r="AA111" s="1323"/>
      <c r="AB111" s="1323"/>
      <c r="AC111" s="3188" t="s">
        <v>298</v>
      </c>
      <c r="AD111" s="3188" t="s">
        <v>299</v>
      </c>
      <c r="AE111" s="1323" t="s">
        <v>334</v>
      </c>
      <c r="AF111" s="1323" t="s">
        <v>335</v>
      </c>
      <c r="AG111" s="1323" t="s">
        <v>336</v>
      </c>
      <c r="AH111" s="1323" t="str">
        <f>IF($E$79=0,"",$E$79)</f>
        <v>Тариф на питьевую воду (питьевое водоснабжение)</v>
      </c>
      <c r="AI111" s="1323" t="str">
        <f>IF($G$79=0,"",$G$79)</f>
        <v>Холодное водоснабжение. Питьевая вода</v>
      </c>
      <c r="AJ111" s="1323" t="str">
        <f>IF($J$79=0,"",$J$79)</f>
        <v>Питьевая вода</v>
      </c>
      <c r="AK111" s="1323" t="str">
        <f>IF($K$111="нет","без дифференциации",IF($N$111=0,"",$N$111))</f>
        <v>Территория 11</v>
      </c>
      <c r="AL111" s="1900" t="str">
        <f>IF($O$111="нет","без дифференциации",IF($R$111=0,"",$R$111))</f>
        <v>без дифференциации</v>
      </c>
      <c r="AM111" s="1900"/>
      <c r="AN111" s="1323">
        <f>$I$79</f>
        <v>1</v>
      </c>
      <c r="AO111" s="1323" t="str">
        <f>$I$79&amp;"."&amp;$M$111</f>
        <v>1.11</v>
      </c>
      <c r="AP111" s="1323" t="str">
        <f>$I$79&amp;"."&amp;$M$111&amp;"."&amp;$Q$111</f>
        <v>1.11.1</v>
      </c>
      <c r="AQ111" s="1323"/>
      <c r="AR111" s="3175"/>
    </row>
    <row customHeight="1" ht="17.25">
      <c r="A112" s="1896"/>
      <c r="B112" s="3175"/>
      <c r="C112" s="1901"/>
      <c r="D112" s="1886"/>
      <c r="E112" s="1903"/>
      <c r="F112" s="1840"/>
      <c r="G112" s="1904"/>
      <c r="H112" s="1886"/>
      <c r="I112" s="1886"/>
      <c r="J112" s="1907"/>
      <c r="K112" s="1904"/>
      <c r="L112" s="2164"/>
      <c r="M112" s="2164"/>
      <c r="N112" s="2560"/>
      <c r="O112" s="2242"/>
      <c r="P112" s="2164"/>
      <c r="Q112" s="2164"/>
      <c r="R112" s="3183" t="s">
        <v>28</v>
      </c>
      <c r="S112" s="2462"/>
      <c r="T112" s="1491"/>
      <c r="U112" s="1492"/>
      <c r="V112" s="1492"/>
      <c r="W112" s="2557"/>
      <c r="X112" s="3175"/>
      <c r="Y112" s="1315"/>
      <c r="Z112" s="1315"/>
      <c r="AA112" s="1315"/>
      <c r="AB112" s="1315"/>
      <c r="AC112" s="1315"/>
      <c r="AD112" s="1315"/>
      <c r="AE112" s="1315"/>
      <c r="AF112" s="1315"/>
      <c r="AG112" s="1315"/>
      <c r="AH112" s="1315"/>
      <c r="AI112" s="1315"/>
      <c r="AJ112" s="1315"/>
      <c r="AK112" s="1315"/>
      <c r="AL112" s="3175"/>
      <c r="AM112" s="3175"/>
      <c r="AN112" s="3175"/>
      <c r="AO112" s="3175"/>
      <c r="AP112" s="3175"/>
      <c r="AQ112" s="3175"/>
      <c r="AR112" s="3175"/>
    </row>
    <row customHeight="1" ht="17.25">
      <c r="A113" s="1896"/>
      <c r="B113" s="3175"/>
      <c r="C113" s="1901"/>
      <c r="D113" s="1886"/>
      <c r="E113" s="1903"/>
      <c r="F113" s="1840"/>
      <c r="G113" s="1904"/>
      <c r="H113" s="1886"/>
      <c r="I113" s="1886"/>
      <c r="J113" s="1907"/>
      <c r="K113" s="1904"/>
      <c r="L113" s="2559"/>
      <c r="M113" s="2559"/>
      <c r="N113" s="2561"/>
      <c r="O113" s="2168"/>
      <c r="P113" s="373"/>
      <c r="Q113" s="374"/>
      <c r="R113" s="374" t="s">
        <v>302</v>
      </c>
      <c r="S113" s="1902"/>
      <c r="T113" s="1902"/>
      <c r="U113" s="1902"/>
      <c r="V113" s="1902"/>
      <c r="W113" s="1489"/>
      <c r="X113" s="3175"/>
      <c r="Y113" s="1315"/>
      <c r="Z113" s="1315"/>
      <c r="AA113" s="1315"/>
      <c r="AB113" s="1315"/>
      <c r="AC113" s="1315"/>
      <c r="AD113" s="1315"/>
      <c r="AE113" s="1315"/>
      <c r="AF113" s="1315"/>
      <c r="AG113" s="1315"/>
      <c r="AH113" s="1315"/>
      <c r="AI113" s="1315"/>
      <c r="AJ113" s="1315"/>
      <c r="AK113" s="1315"/>
      <c r="AL113" s="3175"/>
      <c r="AM113" s="3175"/>
      <c r="AN113" s="3175"/>
      <c r="AO113" s="3175"/>
      <c r="AP113" s="3175"/>
      <c r="AQ113" s="3175"/>
      <c r="AR113" s="3175"/>
    </row>
    <row customHeight="1" ht="17.25">
      <c r="A114" s="1896"/>
      <c r="B114" s="3175"/>
      <c r="C114" s="1898"/>
      <c r="D114" s="1886"/>
      <c r="E114" s="1903"/>
      <c r="F114" s="1840"/>
      <c r="G114" s="1904"/>
      <c r="H114" s="1886"/>
      <c r="I114" s="1886"/>
      <c r="J114" s="1907"/>
      <c r="K114" s="1904"/>
      <c r="L114" s="2164" t="s">
        <v>109</v>
      </c>
      <c r="M114" s="2164" t="s">
        <v>155</v>
      </c>
      <c r="N114" s="2560" t="str">
        <f>IF(Z114="","",INDEX(TERRITORY_MR_LIST,MATCH(Z114,TERRITORY_LIST_ID,0)))</f>
        <v>Территория 12</v>
      </c>
      <c r="O114" s="2241" t="s">
        <v>19</v>
      </c>
      <c r="P114" s="2164"/>
      <c r="Q114" s="2164" t="s">
        <v>191</v>
      </c>
      <c r="R114" s="3183" t="s">
        <v>28</v>
      </c>
      <c r="S114" s="2462" t="s">
        <v>19</v>
      </c>
      <c r="T114" s="1858"/>
      <c r="U114" s="1858" t="s">
        <v>191</v>
      </c>
      <c r="V114" s="1490"/>
      <c r="W114" s="2557"/>
      <c r="X114" s="3175"/>
      <c r="Y114" s="1323"/>
      <c r="Z114" s="1323" t="s">
        <v>156</v>
      </c>
      <c r="AA114" s="1323"/>
      <c r="AB114" s="1323"/>
      <c r="AC114" s="3188" t="s">
        <v>298</v>
      </c>
      <c r="AD114" s="3188" t="s">
        <v>299</v>
      </c>
      <c r="AE114" s="1323" t="s">
        <v>337</v>
      </c>
      <c r="AF114" s="1323" t="s">
        <v>338</v>
      </c>
      <c r="AG114" s="1323" t="s">
        <v>339</v>
      </c>
      <c r="AH114" s="1323" t="str">
        <f>IF($E$79=0,"",$E$79)</f>
        <v>Тариф на питьевую воду (питьевое водоснабжение)</v>
      </c>
      <c r="AI114" s="1323" t="str">
        <f>IF($G$79=0,"",$G$79)</f>
        <v>Холодное водоснабжение. Питьевая вода</v>
      </c>
      <c r="AJ114" s="1323" t="str">
        <f>IF($J$79=0,"",$J$79)</f>
        <v>Питьевая вода</v>
      </c>
      <c r="AK114" s="1323" t="str">
        <f>IF($K$114="нет","без дифференциации",IF($N$114=0,"",$N$114))</f>
        <v>Территория 12</v>
      </c>
      <c r="AL114" s="1900" t="str">
        <f>IF($O$114="нет","без дифференциации",IF($R$114=0,"",$R$114))</f>
        <v>без дифференциации</v>
      </c>
      <c r="AM114" s="1900"/>
      <c r="AN114" s="1323">
        <f>$I$79</f>
        <v>1</v>
      </c>
      <c r="AO114" s="1323" t="str">
        <f>$I$79&amp;"."&amp;$M$114</f>
        <v>1.12</v>
      </c>
      <c r="AP114" s="1323" t="str">
        <f>$I$79&amp;"."&amp;$M$114&amp;"."&amp;$Q$114</f>
        <v>1.12.1</v>
      </c>
      <c r="AQ114" s="1323"/>
      <c r="AR114" s="3175"/>
    </row>
    <row customHeight="1" ht="17.25">
      <c r="A115" s="1896"/>
      <c r="B115" s="3175"/>
      <c r="C115" s="1901"/>
      <c r="D115" s="1886"/>
      <c r="E115" s="1903"/>
      <c r="F115" s="1840"/>
      <c r="G115" s="1904"/>
      <c r="H115" s="1886"/>
      <c r="I115" s="1886"/>
      <c r="J115" s="1907"/>
      <c r="K115" s="1904"/>
      <c r="L115" s="2164"/>
      <c r="M115" s="2164"/>
      <c r="N115" s="2560"/>
      <c r="O115" s="2242"/>
      <c r="P115" s="2164"/>
      <c r="Q115" s="2164"/>
      <c r="R115" s="3183" t="s">
        <v>28</v>
      </c>
      <c r="S115" s="2462"/>
      <c r="T115" s="1491"/>
      <c r="U115" s="1492"/>
      <c r="V115" s="1492"/>
      <c r="W115" s="2557"/>
      <c r="X115" s="3175"/>
      <c r="Y115" s="1315"/>
      <c r="Z115" s="1315"/>
      <c r="AA115" s="1315"/>
      <c r="AB115" s="1315"/>
      <c r="AC115" s="1315"/>
      <c r="AD115" s="1315"/>
      <c r="AE115" s="1315"/>
      <c r="AF115" s="1315"/>
      <c r="AG115" s="1315"/>
      <c r="AH115" s="1315"/>
      <c r="AI115" s="1315"/>
      <c r="AJ115" s="1315"/>
      <c r="AK115" s="1315"/>
      <c r="AL115" s="3175"/>
      <c r="AM115" s="3175"/>
      <c r="AN115" s="3175"/>
      <c r="AO115" s="3175"/>
      <c r="AP115" s="3175"/>
      <c r="AQ115" s="3175"/>
      <c r="AR115" s="3175"/>
    </row>
    <row customHeight="1" ht="17.25">
      <c r="A116" s="1896"/>
      <c r="B116" s="3175"/>
      <c r="C116" s="1901"/>
      <c r="D116" s="1886"/>
      <c r="E116" s="1903"/>
      <c r="F116" s="1840"/>
      <c r="G116" s="1904"/>
      <c r="H116" s="1886"/>
      <c r="I116" s="1886"/>
      <c r="J116" s="1907"/>
      <c r="K116" s="1904"/>
      <c r="L116" s="2559"/>
      <c r="M116" s="2559"/>
      <c r="N116" s="2561"/>
      <c r="O116" s="2168"/>
      <c r="P116" s="373"/>
      <c r="Q116" s="374"/>
      <c r="R116" s="374" t="s">
        <v>302</v>
      </c>
      <c r="S116" s="1902"/>
      <c r="T116" s="1902"/>
      <c r="U116" s="1902"/>
      <c r="V116" s="1902"/>
      <c r="W116" s="1489"/>
      <c r="X116" s="3175"/>
      <c r="Y116" s="1315"/>
      <c r="Z116" s="1315"/>
      <c r="AA116" s="1315"/>
      <c r="AB116" s="1315"/>
      <c r="AC116" s="1315"/>
      <c r="AD116" s="1315"/>
      <c r="AE116" s="1315"/>
      <c r="AF116" s="1315"/>
      <c r="AG116" s="1315"/>
      <c r="AH116" s="1315"/>
      <c r="AI116" s="1315"/>
      <c r="AJ116" s="1315"/>
      <c r="AK116" s="1315"/>
      <c r="AL116" s="3175"/>
      <c r="AM116" s="3175"/>
      <c r="AN116" s="3175"/>
      <c r="AO116" s="3175"/>
      <c r="AP116" s="3175"/>
      <c r="AQ116" s="3175"/>
      <c r="AR116" s="3175"/>
    </row>
    <row customHeight="1" ht="17.25">
      <c r="A117" s="1896"/>
      <c r="B117" s="3175"/>
      <c r="C117" s="1898"/>
      <c r="D117" s="1886"/>
      <c r="E117" s="1903"/>
      <c r="F117" s="1840"/>
      <c r="G117" s="1904"/>
      <c r="H117" s="1886"/>
      <c r="I117" s="1886"/>
      <c r="J117" s="1907"/>
      <c r="K117" s="1904"/>
      <c r="L117" s="2164" t="s">
        <v>109</v>
      </c>
      <c r="M117" s="2164" t="s">
        <v>160</v>
      </c>
      <c r="N117" s="2560" t="str">
        <f>IF(Z117="","",INDEX(TERRITORY_MR_LIST,MATCH(Z117,TERRITORY_LIST_ID,0)))</f>
        <v>Территория 13</v>
      </c>
      <c r="O117" s="2241" t="s">
        <v>19</v>
      </c>
      <c r="P117" s="2164"/>
      <c r="Q117" s="2164" t="s">
        <v>191</v>
      </c>
      <c r="R117" s="3183" t="s">
        <v>28</v>
      </c>
      <c r="S117" s="2462" t="s">
        <v>19</v>
      </c>
      <c r="T117" s="1858"/>
      <c r="U117" s="1858" t="s">
        <v>191</v>
      </c>
      <c r="V117" s="1490"/>
      <c r="W117" s="2557"/>
      <c r="X117" s="3175"/>
      <c r="Y117" s="1323"/>
      <c r="Z117" s="1323" t="s">
        <v>161</v>
      </c>
      <c r="AA117" s="1323"/>
      <c r="AB117" s="1323"/>
      <c r="AC117" s="3188" t="s">
        <v>298</v>
      </c>
      <c r="AD117" s="3188" t="s">
        <v>299</v>
      </c>
      <c r="AE117" s="1323" t="s">
        <v>340</v>
      </c>
      <c r="AF117" s="1323" t="s">
        <v>341</v>
      </c>
      <c r="AG117" s="1323" t="s">
        <v>342</v>
      </c>
      <c r="AH117" s="1323" t="str">
        <f>IF($E$79=0,"",$E$79)</f>
        <v>Тариф на питьевую воду (питьевое водоснабжение)</v>
      </c>
      <c r="AI117" s="1323" t="str">
        <f>IF($G$79=0,"",$G$79)</f>
        <v>Холодное водоснабжение. Питьевая вода</v>
      </c>
      <c r="AJ117" s="1323" t="str">
        <f>IF($J$79=0,"",$J$79)</f>
        <v>Питьевая вода</v>
      </c>
      <c r="AK117" s="1323" t="str">
        <f>IF($K$117="нет","без дифференциации",IF($N$117=0,"",$N$117))</f>
        <v>Территория 13</v>
      </c>
      <c r="AL117" s="1900" t="str">
        <f>IF($O$117="нет","без дифференциации",IF($R$117=0,"",$R$117))</f>
        <v>без дифференциации</v>
      </c>
      <c r="AM117" s="1900"/>
      <c r="AN117" s="1323">
        <f>$I$79</f>
        <v>1</v>
      </c>
      <c r="AO117" s="1323" t="str">
        <f>$I$79&amp;"."&amp;$M$117</f>
        <v>1.13</v>
      </c>
      <c r="AP117" s="1323" t="str">
        <f>$I$79&amp;"."&amp;$M$117&amp;"."&amp;$Q$117</f>
        <v>1.13.1</v>
      </c>
      <c r="AQ117" s="1323"/>
      <c r="AR117" s="3175"/>
    </row>
    <row customHeight="1" ht="17.25">
      <c r="A118" s="1896"/>
      <c r="B118" s="3175"/>
      <c r="C118" s="1901"/>
      <c r="D118" s="1886"/>
      <c r="E118" s="1903"/>
      <c r="F118" s="1840"/>
      <c r="G118" s="1904"/>
      <c r="H118" s="1886"/>
      <c r="I118" s="1886"/>
      <c r="J118" s="1907"/>
      <c r="K118" s="1904"/>
      <c r="L118" s="2164"/>
      <c r="M118" s="2164"/>
      <c r="N118" s="2560"/>
      <c r="O118" s="2242"/>
      <c r="P118" s="2164"/>
      <c r="Q118" s="2164"/>
      <c r="R118" s="3183" t="s">
        <v>28</v>
      </c>
      <c r="S118" s="2462"/>
      <c r="T118" s="1491"/>
      <c r="U118" s="1492"/>
      <c r="V118" s="1492"/>
      <c r="W118" s="2557"/>
      <c r="X118" s="3175"/>
      <c r="Y118" s="1315"/>
      <c r="Z118" s="1315"/>
      <c r="AA118" s="1315"/>
      <c r="AB118" s="1315"/>
      <c r="AC118" s="1315"/>
      <c r="AD118" s="1315"/>
      <c r="AE118" s="1315"/>
      <c r="AF118" s="1315"/>
      <c r="AG118" s="1315"/>
      <c r="AH118" s="1315"/>
      <c r="AI118" s="1315"/>
      <c r="AJ118" s="1315"/>
      <c r="AK118" s="1315"/>
      <c r="AL118" s="3175"/>
      <c r="AM118" s="3175"/>
      <c r="AN118" s="3175"/>
      <c r="AO118" s="3175"/>
      <c r="AP118" s="3175"/>
      <c r="AQ118" s="3175"/>
      <c r="AR118" s="3175"/>
    </row>
    <row customHeight="1" ht="17.25">
      <c r="A119" s="1896"/>
      <c r="B119" s="3175"/>
      <c r="C119" s="1901"/>
      <c r="D119" s="1886"/>
      <c r="E119" s="1903"/>
      <c r="F119" s="1840"/>
      <c r="G119" s="1904"/>
      <c r="H119" s="1886"/>
      <c r="I119" s="1886"/>
      <c r="J119" s="1907"/>
      <c r="K119" s="1904"/>
      <c r="L119" s="2559"/>
      <c r="M119" s="2559"/>
      <c r="N119" s="2561"/>
      <c r="O119" s="2168"/>
      <c r="P119" s="373"/>
      <c r="Q119" s="374"/>
      <c r="R119" s="374" t="s">
        <v>302</v>
      </c>
      <c r="S119" s="1902"/>
      <c r="T119" s="1902"/>
      <c r="U119" s="1902"/>
      <c r="V119" s="1902"/>
      <c r="W119" s="1489"/>
      <c r="X119" s="3175"/>
      <c r="Y119" s="1315"/>
      <c r="Z119" s="1315"/>
      <c r="AA119" s="1315"/>
      <c r="AB119" s="1315"/>
      <c r="AC119" s="1315"/>
      <c r="AD119" s="1315"/>
      <c r="AE119" s="1315"/>
      <c r="AF119" s="1315"/>
      <c r="AG119" s="1315"/>
      <c r="AH119" s="1315"/>
      <c r="AI119" s="1315"/>
      <c r="AJ119" s="1315"/>
      <c r="AK119" s="1315"/>
      <c r="AL119" s="3175"/>
      <c r="AM119" s="3175"/>
      <c r="AN119" s="3175"/>
      <c r="AO119" s="3175"/>
      <c r="AP119" s="3175"/>
      <c r="AQ119" s="3175"/>
      <c r="AR119" s="3175"/>
    </row>
    <row customHeight="1" ht="17.25">
      <c r="A120" s="1896"/>
      <c r="B120" s="3175"/>
      <c r="C120" s="1898"/>
      <c r="D120" s="1886"/>
      <c r="E120" s="1903"/>
      <c r="F120" s="1840"/>
      <c r="G120" s="1904"/>
      <c r="H120" s="1886"/>
      <c r="I120" s="1886"/>
      <c r="J120" s="1907"/>
      <c r="K120" s="1904"/>
      <c r="L120" s="2164" t="s">
        <v>109</v>
      </c>
      <c r="M120" s="2164" t="s">
        <v>165</v>
      </c>
      <c r="N120" s="2560" t="str">
        <f>IF(Z120="","",INDEX(TERRITORY_MR_LIST,MATCH(Z120,TERRITORY_LIST_ID,0)))</f>
        <v>Территория 14</v>
      </c>
      <c r="O120" s="2241" t="s">
        <v>19</v>
      </c>
      <c r="P120" s="2164"/>
      <c r="Q120" s="2164" t="s">
        <v>191</v>
      </c>
      <c r="R120" s="3183" t="s">
        <v>28</v>
      </c>
      <c r="S120" s="2462" t="s">
        <v>19</v>
      </c>
      <c r="T120" s="1858"/>
      <c r="U120" s="1858" t="s">
        <v>191</v>
      </c>
      <c r="V120" s="1490"/>
      <c r="W120" s="2557"/>
      <c r="X120" s="3175"/>
      <c r="Y120" s="1323"/>
      <c r="Z120" s="1323" t="s">
        <v>166</v>
      </c>
      <c r="AA120" s="1323"/>
      <c r="AB120" s="1323"/>
      <c r="AC120" s="3188" t="s">
        <v>298</v>
      </c>
      <c r="AD120" s="3188" t="s">
        <v>299</v>
      </c>
      <c r="AE120" s="1323" t="s">
        <v>343</v>
      </c>
      <c r="AF120" s="1323" t="s">
        <v>344</v>
      </c>
      <c r="AG120" s="1323" t="s">
        <v>345</v>
      </c>
      <c r="AH120" s="1323" t="str">
        <f>IF($E$79=0,"",$E$79)</f>
        <v>Тариф на питьевую воду (питьевое водоснабжение)</v>
      </c>
      <c r="AI120" s="1323" t="str">
        <f>IF($G$79=0,"",$G$79)</f>
        <v>Холодное водоснабжение. Питьевая вода</v>
      </c>
      <c r="AJ120" s="1323" t="str">
        <f>IF($J$79=0,"",$J$79)</f>
        <v>Питьевая вода</v>
      </c>
      <c r="AK120" s="1323" t="str">
        <f>IF($K$120="нет","без дифференциации",IF($N$120=0,"",$N$120))</f>
        <v>Территория 14</v>
      </c>
      <c r="AL120" s="1900" t="str">
        <f>IF($O$120="нет","без дифференциации",IF($R$120=0,"",$R$120))</f>
        <v>без дифференциации</v>
      </c>
      <c r="AM120" s="1900"/>
      <c r="AN120" s="1323">
        <f>$I$79</f>
        <v>1</v>
      </c>
      <c r="AO120" s="1323" t="str">
        <f>$I$79&amp;"."&amp;$M$120</f>
        <v>1.14</v>
      </c>
      <c r="AP120" s="1323" t="str">
        <f>$I$79&amp;"."&amp;$M$120&amp;"."&amp;$Q$120</f>
        <v>1.14.1</v>
      </c>
      <c r="AQ120" s="1323"/>
      <c r="AR120" s="3175"/>
    </row>
    <row customHeight="1" ht="17.25">
      <c r="A121" s="1896"/>
      <c r="B121" s="3175"/>
      <c r="C121" s="1901"/>
      <c r="D121" s="1886"/>
      <c r="E121" s="1903"/>
      <c r="F121" s="1840"/>
      <c r="G121" s="1904"/>
      <c r="H121" s="1886"/>
      <c r="I121" s="1886"/>
      <c r="J121" s="1907"/>
      <c r="K121" s="1904"/>
      <c r="L121" s="2164"/>
      <c r="M121" s="2164"/>
      <c r="N121" s="2560"/>
      <c r="O121" s="2242"/>
      <c r="P121" s="2164"/>
      <c r="Q121" s="2164"/>
      <c r="R121" s="3183" t="s">
        <v>28</v>
      </c>
      <c r="S121" s="2462"/>
      <c r="T121" s="1491"/>
      <c r="U121" s="1492"/>
      <c r="V121" s="1492"/>
      <c r="W121" s="2557"/>
      <c r="X121" s="3175"/>
      <c r="Y121" s="1315"/>
      <c r="Z121" s="1315"/>
      <c r="AA121" s="1315"/>
      <c r="AB121" s="1315"/>
      <c r="AC121" s="1315"/>
      <c r="AD121" s="1315"/>
      <c r="AE121" s="1315"/>
      <c r="AF121" s="1315"/>
      <c r="AG121" s="1315"/>
      <c r="AH121" s="1315"/>
      <c r="AI121" s="1315"/>
      <c r="AJ121" s="1315"/>
      <c r="AK121" s="1315"/>
      <c r="AL121" s="3175"/>
      <c r="AM121" s="3175"/>
      <c r="AN121" s="3175"/>
      <c r="AO121" s="3175"/>
      <c r="AP121" s="3175"/>
      <c r="AQ121" s="3175"/>
      <c r="AR121" s="3175"/>
    </row>
    <row customHeight="1" ht="17.25">
      <c r="A122" s="1896"/>
      <c r="B122" s="3175"/>
      <c r="C122" s="1901"/>
      <c r="D122" s="1886"/>
      <c r="E122" s="1903"/>
      <c r="F122" s="1840"/>
      <c r="G122" s="1904"/>
      <c r="H122" s="1886"/>
      <c r="I122" s="1886"/>
      <c r="J122" s="1907"/>
      <c r="K122" s="1904"/>
      <c r="L122" s="2559"/>
      <c r="M122" s="2559"/>
      <c r="N122" s="2561"/>
      <c r="O122" s="2168"/>
      <c r="P122" s="373"/>
      <c r="Q122" s="374"/>
      <c r="R122" s="374" t="s">
        <v>302</v>
      </c>
      <c r="S122" s="1902"/>
      <c r="T122" s="1902"/>
      <c r="U122" s="1902"/>
      <c r="V122" s="1902"/>
      <c r="W122" s="1489"/>
      <c r="X122" s="3175"/>
      <c r="Y122" s="1315"/>
      <c r="Z122" s="1315"/>
      <c r="AA122" s="1315"/>
      <c r="AB122" s="1315"/>
      <c r="AC122" s="1315"/>
      <c r="AD122" s="1315"/>
      <c r="AE122" s="1315"/>
      <c r="AF122" s="1315"/>
      <c r="AG122" s="1315"/>
      <c r="AH122" s="1315"/>
      <c r="AI122" s="1315"/>
      <c r="AJ122" s="1315"/>
      <c r="AK122" s="1315"/>
      <c r="AL122" s="3175"/>
      <c r="AM122" s="3175"/>
      <c r="AN122" s="3175"/>
      <c r="AO122" s="3175"/>
      <c r="AP122" s="3175"/>
      <c r="AQ122" s="3175"/>
      <c r="AR122" s="3175"/>
    </row>
    <row customHeight="1" ht="17.25">
      <c r="A123" s="1896"/>
      <c r="B123" s="3175"/>
      <c r="C123" s="1898"/>
      <c r="D123" s="1886"/>
      <c r="E123" s="1903"/>
      <c r="F123" s="1840"/>
      <c r="G123" s="1904"/>
      <c r="H123" s="1886"/>
      <c r="I123" s="1886"/>
      <c r="J123" s="1907"/>
      <c r="K123" s="1904"/>
      <c r="L123" s="2164" t="s">
        <v>109</v>
      </c>
      <c r="M123" s="2164" t="s">
        <v>170</v>
      </c>
      <c r="N123" s="2560" t="str">
        <f>IF(Z123="","",INDEX(TERRITORY_MR_LIST,MATCH(Z123,TERRITORY_LIST_ID,0)))</f>
        <v>Территория 15</v>
      </c>
      <c r="O123" s="2241" t="s">
        <v>19</v>
      </c>
      <c r="P123" s="2164"/>
      <c r="Q123" s="2164" t="s">
        <v>191</v>
      </c>
      <c r="R123" s="3183" t="s">
        <v>28</v>
      </c>
      <c r="S123" s="2462" t="s">
        <v>19</v>
      </c>
      <c r="T123" s="1858"/>
      <c r="U123" s="1858" t="s">
        <v>191</v>
      </c>
      <c r="V123" s="1490"/>
      <c r="W123" s="2557"/>
      <c r="X123" s="3175"/>
      <c r="Y123" s="1323"/>
      <c r="Z123" s="1323" t="s">
        <v>171</v>
      </c>
      <c r="AA123" s="1323"/>
      <c r="AB123" s="1323"/>
      <c r="AC123" s="3188" t="s">
        <v>298</v>
      </c>
      <c r="AD123" s="3188" t="s">
        <v>299</v>
      </c>
      <c r="AE123" s="1323" t="s">
        <v>346</v>
      </c>
      <c r="AF123" s="1323" t="s">
        <v>347</v>
      </c>
      <c r="AG123" s="1323" t="s">
        <v>348</v>
      </c>
      <c r="AH123" s="1323" t="str">
        <f>IF($E$79=0,"",$E$79)</f>
        <v>Тариф на питьевую воду (питьевое водоснабжение)</v>
      </c>
      <c r="AI123" s="1323" t="str">
        <f>IF($G$79=0,"",$G$79)</f>
        <v>Холодное водоснабжение. Питьевая вода</v>
      </c>
      <c r="AJ123" s="1323" t="str">
        <f>IF($J$79=0,"",$J$79)</f>
        <v>Питьевая вода</v>
      </c>
      <c r="AK123" s="1323" t="str">
        <f>IF($K$123="нет","без дифференциации",IF($N$123=0,"",$N$123))</f>
        <v>Территория 15</v>
      </c>
      <c r="AL123" s="1900" t="str">
        <f>IF($O$123="нет","без дифференциации",IF($R$123=0,"",$R$123))</f>
        <v>без дифференциации</v>
      </c>
      <c r="AM123" s="1900"/>
      <c r="AN123" s="1323">
        <f>$I$79</f>
        <v>1</v>
      </c>
      <c r="AO123" s="1323" t="str">
        <f>$I$79&amp;"."&amp;$M$123</f>
        <v>1.15</v>
      </c>
      <c r="AP123" s="1323" t="str">
        <f>$I$79&amp;"."&amp;$M$123&amp;"."&amp;$Q$123</f>
        <v>1.15.1</v>
      </c>
      <c r="AQ123" s="1323"/>
      <c r="AR123" s="3175"/>
    </row>
    <row customHeight="1" ht="17.25">
      <c r="A124" s="1896"/>
      <c r="B124" s="3175"/>
      <c r="C124" s="1901"/>
      <c r="D124" s="1886"/>
      <c r="E124" s="1903"/>
      <c r="F124" s="1840"/>
      <c r="G124" s="1904"/>
      <c r="H124" s="1886"/>
      <c r="I124" s="1886"/>
      <c r="J124" s="1907"/>
      <c r="K124" s="1904"/>
      <c r="L124" s="2164"/>
      <c r="M124" s="2164"/>
      <c r="N124" s="2560"/>
      <c r="O124" s="2242"/>
      <c r="P124" s="2164"/>
      <c r="Q124" s="2164"/>
      <c r="R124" s="3183" t="s">
        <v>28</v>
      </c>
      <c r="S124" s="2462"/>
      <c r="T124" s="1491"/>
      <c r="U124" s="1492"/>
      <c r="V124" s="1492"/>
      <c r="W124" s="2557"/>
      <c r="X124" s="3175"/>
      <c r="Y124" s="1315"/>
      <c r="Z124" s="1315"/>
      <c r="AA124" s="1315"/>
      <c r="AB124" s="1315"/>
      <c r="AC124" s="1315"/>
      <c r="AD124" s="1315"/>
      <c r="AE124" s="1315"/>
      <c r="AF124" s="1315"/>
      <c r="AG124" s="1315"/>
      <c r="AH124" s="1315"/>
      <c r="AI124" s="1315"/>
      <c r="AJ124" s="1315"/>
      <c r="AK124" s="1315"/>
      <c r="AL124" s="3175"/>
      <c r="AM124" s="3175"/>
      <c r="AN124" s="3175"/>
      <c r="AO124" s="3175"/>
      <c r="AP124" s="3175"/>
      <c r="AQ124" s="3175"/>
      <c r="AR124" s="3175"/>
    </row>
    <row customHeight="1" ht="17.25">
      <c r="A125" s="1896"/>
      <c r="B125" s="3175"/>
      <c r="C125" s="1901"/>
      <c r="D125" s="1886"/>
      <c r="E125" s="1903"/>
      <c r="F125" s="1840"/>
      <c r="G125" s="1904"/>
      <c r="H125" s="1886"/>
      <c r="I125" s="1886"/>
      <c r="J125" s="1907"/>
      <c r="K125" s="1904"/>
      <c r="L125" s="2559"/>
      <c r="M125" s="2559"/>
      <c r="N125" s="2561"/>
      <c r="O125" s="2168"/>
      <c r="P125" s="373"/>
      <c r="Q125" s="374"/>
      <c r="R125" s="374" t="s">
        <v>302</v>
      </c>
      <c r="S125" s="1902"/>
      <c r="T125" s="1902"/>
      <c r="U125" s="1902"/>
      <c r="V125" s="1902"/>
      <c r="W125" s="1489"/>
      <c r="X125" s="3175"/>
      <c r="Y125" s="1315"/>
      <c r="Z125" s="1315"/>
      <c r="AA125" s="1315"/>
      <c r="AB125" s="1315"/>
      <c r="AC125" s="1315"/>
      <c r="AD125" s="1315"/>
      <c r="AE125" s="1315"/>
      <c r="AF125" s="1315"/>
      <c r="AG125" s="1315"/>
      <c r="AH125" s="1315"/>
      <c r="AI125" s="1315"/>
      <c r="AJ125" s="1315"/>
      <c r="AK125" s="1315"/>
      <c r="AL125" s="3175"/>
      <c r="AM125" s="3175"/>
      <c r="AN125" s="3175"/>
      <c r="AO125" s="3175"/>
      <c r="AP125" s="3175"/>
      <c r="AQ125" s="3175"/>
      <c r="AR125" s="3175"/>
    </row>
    <row customHeight="1" ht="17.25">
      <c r="A126" s="1896"/>
      <c r="B126" s="3175"/>
      <c r="C126" s="1898"/>
      <c r="D126" s="1886"/>
      <c r="E126" s="1903"/>
      <c r="F126" s="1840"/>
      <c r="G126" s="1904"/>
      <c r="H126" s="1886"/>
      <c r="I126" s="1886"/>
      <c r="J126" s="1907"/>
      <c r="K126" s="1904"/>
      <c r="L126" s="2164" t="s">
        <v>109</v>
      </c>
      <c r="M126" s="2164" t="s">
        <v>175</v>
      </c>
      <c r="N126" s="2560" t="str">
        <f>IF(Z126="","",INDEX(TERRITORY_MR_LIST,MATCH(Z126,TERRITORY_LIST_ID,0)))</f>
        <v>Территория 16</v>
      </c>
      <c r="O126" s="2241" t="s">
        <v>19</v>
      </c>
      <c r="P126" s="2164"/>
      <c r="Q126" s="2164" t="s">
        <v>191</v>
      </c>
      <c r="R126" s="3183" t="s">
        <v>28</v>
      </c>
      <c r="S126" s="2462" t="s">
        <v>19</v>
      </c>
      <c r="T126" s="1858"/>
      <c r="U126" s="1858" t="s">
        <v>191</v>
      </c>
      <c r="V126" s="1490"/>
      <c r="W126" s="2557"/>
      <c r="X126" s="3175"/>
      <c r="Y126" s="1323"/>
      <c r="Z126" s="1323" t="s">
        <v>176</v>
      </c>
      <c r="AA126" s="1323"/>
      <c r="AB126" s="1323"/>
      <c r="AC126" s="3188" t="s">
        <v>298</v>
      </c>
      <c r="AD126" s="3188" t="s">
        <v>299</v>
      </c>
      <c r="AE126" s="1323" t="s">
        <v>349</v>
      </c>
      <c r="AF126" s="1323" t="s">
        <v>350</v>
      </c>
      <c r="AG126" s="1323" t="s">
        <v>351</v>
      </c>
      <c r="AH126" s="1323" t="str">
        <f>IF($E$79=0,"",$E$79)</f>
        <v>Тариф на питьевую воду (питьевое водоснабжение)</v>
      </c>
      <c r="AI126" s="1323" t="str">
        <f>IF($G$79=0,"",$G$79)</f>
        <v>Холодное водоснабжение. Питьевая вода</v>
      </c>
      <c r="AJ126" s="1323" t="str">
        <f>IF($J$79=0,"",$J$79)</f>
        <v>Питьевая вода</v>
      </c>
      <c r="AK126" s="1323" t="str">
        <f>IF($K$126="нет","без дифференциации",IF($N$126=0,"",$N$126))</f>
        <v>Территория 16</v>
      </c>
      <c r="AL126" s="1900" t="str">
        <f>IF($O$126="нет","без дифференциации",IF($R$126=0,"",$R$126))</f>
        <v>без дифференциации</v>
      </c>
      <c r="AM126" s="1900"/>
      <c r="AN126" s="1323">
        <f>$I$79</f>
        <v>1</v>
      </c>
      <c r="AO126" s="1323" t="str">
        <f>$I$79&amp;"."&amp;$M$126</f>
        <v>1.16</v>
      </c>
      <c r="AP126" s="1323" t="str">
        <f>$I$79&amp;"."&amp;$M$126&amp;"."&amp;$Q$126</f>
        <v>1.16.1</v>
      </c>
      <c r="AQ126" s="1323"/>
      <c r="AR126" s="3175"/>
    </row>
    <row customHeight="1" ht="17.25">
      <c r="A127" s="1896"/>
      <c r="B127" s="3175"/>
      <c r="C127" s="1901"/>
      <c r="D127" s="1886"/>
      <c r="E127" s="1903"/>
      <c r="F127" s="1840"/>
      <c r="G127" s="1904"/>
      <c r="H127" s="1886"/>
      <c r="I127" s="1886"/>
      <c r="J127" s="1907"/>
      <c r="K127" s="1904"/>
      <c r="L127" s="2164"/>
      <c r="M127" s="2164"/>
      <c r="N127" s="2560"/>
      <c r="O127" s="2242"/>
      <c r="P127" s="2164"/>
      <c r="Q127" s="2164"/>
      <c r="R127" s="3183" t="s">
        <v>28</v>
      </c>
      <c r="S127" s="2462"/>
      <c r="T127" s="1491"/>
      <c r="U127" s="1492"/>
      <c r="V127" s="1492"/>
      <c r="W127" s="2557"/>
      <c r="X127" s="3175"/>
      <c r="Y127" s="1315"/>
      <c r="Z127" s="1315"/>
      <c r="AA127" s="1315"/>
      <c r="AB127" s="1315"/>
      <c r="AC127" s="1315"/>
      <c r="AD127" s="1315"/>
      <c r="AE127" s="1315"/>
      <c r="AF127" s="1315"/>
      <c r="AG127" s="1315"/>
      <c r="AH127" s="1315"/>
      <c r="AI127" s="1315"/>
      <c r="AJ127" s="1315"/>
      <c r="AK127" s="1315"/>
      <c r="AL127" s="3175"/>
      <c r="AM127" s="3175"/>
      <c r="AN127" s="3175"/>
      <c r="AO127" s="3175"/>
      <c r="AP127" s="3175"/>
      <c r="AQ127" s="3175"/>
      <c r="AR127" s="3175"/>
    </row>
    <row customHeight="1" ht="17.25">
      <c r="A128" s="1896"/>
      <c r="B128" s="3175"/>
      <c r="C128" s="1901"/>
      <c r="D128" s="1886"/>
      <c r="E128" s="1903"/>
      <c r="F128" s="1840"/>
      <c r="G128" s="1904"/>
      <c r="H128" s="1886"/>
      <c r="I128" s="1886"/>
      <c r="J128" s="1907"/>
      <c r="K128" s="1904"/>
      <c r="L128" s="2559"/>
      <c r="M128" s="2559"/>
      <c r="N128" s="2561"/>
      <c r="O128" s="2168"/>
      <c r="P128" s="373"/>
      <c r="Q128" s="374"/>
      <c r="R128" s="374" t="s">
        <v>302</v>
      </c>
      <c r="S128" s="1902"/>
      <c r="T128" s="1902"/>
      <c r="U128" s="1902"/>
      <c r="V128" s="1902"/>
      <c r="W128" s="1489"/>
      <c r="X128" s="3175"/>
      <c r="Y128" s="1315"/>
      <c r="Z128" s="1315"/>
      <c r="AA128" s="1315"/>
      <c r="AB128" s="1315"/>
      <c r="AC128" s="1315"/>
      <c r="AD128" s="1315"/>
      <c r="AE128" s="1315"/>
      <c r="AF128" s="1315"/>
      <c r="AG128" s="1315"/>
      <c r="AH128" s="1315"/>
      <c r="AI128" s="1315"/>
      <c r="AJ128" s="1315"/>
      <c r="AK128" s="1315"/>
      <c r="AL128" s="3175"/>
      <c r="AM128" s="3175"/>
      <c r="AN128" s="3175"/>
      <c r="AO128" s="3175"/>
      <c r="AP128" s="3175"/>
      <c r="AQ128" s="3175"/>
      <c r="AR128" s="3175"/>
    </row>
    <row customHeight="1" ht="17.25">
      <c r="A129" s="1896"/>
      <c r="B129" s="3175"/>
      <c r="C129" s="1898"/>
      <c r="D129" s="1886"/>
      <c r="E129" s="1903"/>
      <c r="F129" s="1840"/>
      <c r="G129" s="1904"/>
      <c r="H129" s="1886"/>
      <c r="I129" s="1886"/>
      <c r="J129" s="1907"/>
      <c r="K129" s="1904"/>
      <c r="L129" s="2164" t="s">
        <v>109</v>
      </c>
      <c r="M129" s="2164" t="s">
        <v>180</v>
      </c>
      <c r="N129" s="2560" t="str">
        <f>IF(Z129="","",INDEX(TERRITORY_MR_LIST,MATCH(Z129,TERRITORY_LIST_ID,0)))</f>
        <v>Территория 17</v>
      </c>
      <c r="O129" s="2241" t="s">
        <v>65</v>
      </c>
      <c r="P129" s="2164"/>
      <c r="Q129" s="2164" t="s">
        <v>191</v>
      </c>
      <c r="R129" s="2558" t="s">
        <v>352</v>
      </c>
      <c r="S129" s="2462" t="s">
        <v>19</v>
      </c>
      <c r="T129" s="1858"/>
      <c r="U129" s="1858" t="s">
        <v>191</v>
      </c>
      <c r="V129" s="1490"/>
      <c r="W129" s="2557"/>
      <c r="X129" s="3175"/>
      <c r="Y129" s="1323"/>
      <c r="Z129" s="1323" t="s">
        <v>181</v>
      </c>
      <c r="AA129" s="1323"/>
      <c r="AB129" s="1323"/>
      <c r="AC129" s="3188" t="s">
        <v>298</v>
      </c>
      <c r="AD129" s="3188" t="s">
        <v>299</v>
      </c>
      <c r="AE129" s="1323" t="s">
        <v>353</v>
      </c>
      <c r="AF129" s="1323" t="s">
        <v>354</v>
      </c>
      <c r="AG129" s="1323" t="s">
        <v>355</v>
      </c>
      <c r="AH129" s="1323" t="str">
        <f>IF($E$79=0,"",$E$79)</f>
        <v>Тариф на питьевую воду (питьевое водоснабжение)</v>
      </c>
      <c r="AI129" s="1323" t="str">
        <f>IF($G$79=0,"",$G$79)</f>
        <v>Холодное водоснабжение. Питьевая вода</v>
      </c>
      <c r="AJ129" s="1323" t="str">
        <f>IF($J$79=0,"",$J$79)</f>
        <v>Питьевая вода</v>
      </c>
      <c r="AK129" s="1323" t="str">
        <f>IF($K$129="нет","без дифференциации",IF($N$129=0,"",$N$129))</f>
        <v>Территория 17</v>
      </c>
      <c r="AL129" s="1900" t="str">
        <f>IF($O$129="нет","без дифференциации",IF($R$129=0,"",$R$129))</f>
        <v>п. Искра</v>
      </c>
      <c r="AM129" s="1900"/>
      <c r="AN129" s="1323">
        <f>$I$79</f>
        <v>1</v>
      </c>
      <c r="AO129" s="1323" t="str">
        <f>$I$79&amp;"."&amp;$M$129</f>
        <v>1.17</v>
      </c>
      <c r="AP129" s="1323" t="str">
        <f>$I$79&amp;"."&amp;$M$129&amp;"."&amp;$Q$129</f>
        <v>1.17.1</v>
      </c>
      <c r="AQ129" s="1323"/>
      <c r="AR129" s="3175"/>
    </row>
    <row customHeight="1" ht="17.25">
      <c r="A130" s="1896"/>
      <c r="B130" s="3175"/>
      <c r="C130" s="1901"/>
      <c r="D130" s="1886"/>
      <c r="E130" s="1903"/>
      <c r="F130" s="1840"/>
      <c r="G130" s="1904"/>
      <c r="H130" s="1886"/>
      <c r="I130" s="1886"/>
      <c r="J130" s="1907"/>
      <c r="K130" s="1904"/>
      <c r="L130" s="2164"/>
      <c r="M130" s="2164"/>
      <c r="N130" s="2560"/>
      <c r="O130" s="2242"/>
      <c r="P130" s="2164"/>
      <c r="Q130" s="2164"/>
      <c r="R130" s="2558"/>
      <c r="S130" s="2462"/>
      <c r="T130" s="1491"/>
      <c r="U130" s="1492"/>
      <c r="V130" s="1492"/>
      <c r="W130" s="2557"/>
      <c r="X130" s="3175"/>
      <c r="Y130" s="1315"/>
      <c r="Z130" s="1315"/>
      <c r="AA130" s="1315"/>
      <c r="AB130" s="1315"/>
      <c r="AC130" s="1315"/>
      <c r="AD130" s="1315"/>
      <c r="AE130" s="1315"/>
      <c r="AF130" s="1315"/>
      <c r="AG130" s="1315"/>
      <c r="AH130" s="1315"/>
      <c r="AI130" s="1315"/>
      <c r="AJ130" s="1315"/>
      <c r="AK130" s="1315"/>
      <c r="AL130" s="3175"/>
      <c r="AM130" s="3175"/>
      <c r="AN130" s="3175"/>
      <c r="AO130" s="3175"/>
      <c r="AP130" s="3175"/>
      <c r="AQ130" s="3175"/>
      <c r="AR130" s="3175"/>
    </row>
    <row customHeight="1" ht="17.25">
      <c r="A131" s="1896"/>
      <c r="B131" s="3175"/>
      <c r="C131" s="1898"/>
      <c r="D131" s="1886"/>
      <c r="E131" s="1903"/>
      <c r="F131" s="1840"/>
      <c r="G131" s="1904"/>
      <c r="H131" s="1886"/>
      <c r="I131" s="1886"/>
      <c r="J131" s="1907"/>
      <c r="K131" s="1904"/>
      <c r="L131" s="1886"/>
      <c r="M131" s="1886"/>
      <c r="N131" s="2104"/>
      <c r="O131" s="1843"/>
      <c r="P131" s="2164" t="s">
        <v>109</v>
      </c>
      <c r="Q131" s="2164" t="s">
        <v>108</v>
      </c>
      <c r="R131" s="2558" t="s">
        <v>356</v>
      </c>
      <c r="S131" s="2462" t="s">
        <v>19</v>
      </c>
      <c r="T131" s="1858"/>
      <c r="U131" s="1858" t="s">
        <v>191</v>
      </c>
      <c r="V131" s="1490"/>
      <c r="W131" s="2557"/>
      <c r="X131" s="3175"/>
      <c r="Y131" s="1323"/>
      <c r="Z131" s="1323"/>
      <c r="AA131" s="1323"/>
      <c r="AB131" s="1323"/>
      <c r="AC131" s="3188" t="s">
        <v>298</v>
      </c>
      <c r="AD131" s="3188" t="s">
        <v>299</v>
      </c>
      <c r="AE131" s="3188" t="s">
        <v>353</v>
      </c>
      <c r="AF131" s="1323" t="s">
        <v>357</v>
      </c>
      <c r="AG131" s="1323" t="s">
        <v>358</v>
      </c>
      <c r="AH131" s="1323" t="str">
        <f>IF($E$79=0,"",$E$79)</f>
        <v>Тариф на питьевую воду (питьевое водоснабжение)</v>
      </c>
      <c r="AI131" s="1323" t="str">
        <f>IF($G$79=0,"",$G$79)</f>
        <v>Холодное водоснабжение. Питьевая вода</v>
      </c>
      <c r="AJ131" s="1323" t="str">
        <f>IF($J$79=0,"",$J$79)</f>
        <v>Питьевая вода</v>
      </c>
      <c r="AK131" s="1323" t="str">
        <f>IF($K$129="нет","без дифференциации",IF($N$129=0,"",$N$129))</f>
        <v>Территория 17</v>
      </c>
      <c r="AL131" s="1900" t="str">
        <f>IF($O$131="нет","без дифференциации",IF($R$131=0,"",$R$131))</f>
        <v>кроме п. Искра</v>
      </c>
      <c r="AM131" s="1900"/>
      <c r="AN131" s="1323">
        <f>$I$79</f>
        <v>1</v>
      </c>
      <c r="AO131" s="1323" t="str">
        <f>$I$79&amp;"."&amp;$M$129</f>
        <v>1.17</v>
      </c>
      <c r="AP131" s="1323" t="str">
        <f>$I$79&amp;"."&amp;$M$129&amp;"."&amp;$Q$131</f>
        <v>1.17.2</v>
      </c>
      <c r="AQ131" s="1323"/>
      <c r="AR131" s="3175"/>
    </row>
    <row customHeight="1" ht="17.25">
      <c r="A132" s="1896"/>
      <c r="B132" s="3175"/>
      <c r="C132" s="1901"/>
      <c r="D132" s="1886"/>
      <c r="E132" s="1903"/>
      <c r="F132" s="1840"/>
      <c r="G132" s="1904"/>
      <c r="H132" s="1886"/>
      <c r="I132" s="1886"/>
      <c r="J132" s="1907"/>
      <c r="K132" s="1904"/>
      <c r="L132" s="1886"/>
      <c r="M132" s="1886"/>
      <c r="N132" s="2104"/>
      <c r="O132" s="1843"/>
      <c r="P132" s="2164"/>
      <c r="Q132" s="2164"/>
      <c r="R132" s="2558"/>
      <c r="S132" s="2462"/>
      <c r="T132" s="1491"/>
      <c r="U132" s="1492"/>
      <c r="V132" s="1492"/>
      <c r="W132" s="2557"/>
      <c r="X132" s="3175"/>
      <c r="Y132" s="1315"/>
      <c r="Z132" s="1315"/>
      <c r="AA132" s="1315"/>
      <c r="AB132" s="1315"/>
      <c r="AC132" s="1315"/>
      <c r="AD132" s="1315"/>
      <c r="AE132" s="1315"/>
      <c r="AF132" s="1315"/>
      <c r="AG132" s="1315"/>
      <c r="AH132" s="1315"/>
      <c r="AI132" s="1315"/>
      <c r="AJ132" s="1315"/>
      <c r="AK132" s="1315"/>
      <c r="AL132" s="3175"/>
      <c r="AM132" s="3175"/>
      <c r="AN132" s="3175"/>
      <c r="AO132" s="3175"/>
      <c r="AP132" s="3175"/>
      <c r="AQ132" s="3175"/>
      <c r="AR132" s="3175"/>
    </row>
    <row customHeight="1" ht="17.25">
      <c r="A133" s="1896"/>
      <c r="B133" s="3175"/>
      <c r="C133" s="1901"/>
      <c r="D133" s="1886"/>
      <c r="E133" s="1903"/>
      <c r="F133" s="1840"/>
      <c r="G133" s="1904"/>
      <c r="H133" s="1886"/>
      <c r="I133" s="1886"/>
      <c r="J133" s="1907"/>
      <c r="K133" s="1904"/>
      <c r="L133" s="2559"/>
      <c r="M133" s="2559"/>
      <c r="N133" s="2561"/>
      <c r="O133" s="2168"/>
      <c r="P133" s="373"/>
      <c r="Q133" s="374"/>
      <c r="R133" s="374" t="s">
        <v>302</v>
      </c>
      <c r="S133" s="1902"/>
      <c r="T133" s="1902"/>
      <c r="U133" s="1902"/>
      <c r="V133" s="1902"/>
      <c r="W133" s="1489"/>
      <c r="X133" s="3175"/>
      <c r="Y133" s="1315"/>
      <c r="Z133" s="1315"/>
      <c r="AA133" s="1315"/>
      <c r="AB133" s="1315"/>
      <c r="AC133" s="1315"/>
      <c r="AD133" s="1315"/>
      <c r="AE133" s="1315"/>
      <c r="AF133" s="1315"/>
      <c r="AG133" s="1315"/>
      <c r="AH133" s="1315"/>
      <c r="AI133" s="1315"/>
      <c r="AJ133" s="1315"/>
      <c r="AK133" s="1315"/>
      <c r="AL133" s="3175"/>
      <c r="AM133" s="3175"/>
      <c r="AN133" s="3175"/>
      <c r="AO133" s="3175"/>
      <c r="AP133" s="3175"/>
      <c r="AQ133" s="3175"/>
      <c r="AR133" s="3175"/>
    </row>
    <row s="2983" customFormat="1" customHeight="1" ht="17.25">
      <c r="A134" s="377"/>
      <c r="C134" s="376"/>
      <c r="D134" s="2191"/>
      <c r="E134" s="2199"/>
      <c r="F134" s="2202"/>
      <c r="G134" s="3149"/>
      <c r="H134" s="3161"/>
      <c r="I134" s="3161"/>
      <c r="J134" s="3162"/>
      <c r="K134" s="3164"/>
      <c r="L134" s="3203"/>
      <c r="M134" s="3204"/>
      <c r="N134" s="3205" t="s">
        <v>359</v>
      </c>
      <c r="O134" s="3206"/>
      <c r="P134" s="3207"/>
      <c r="Q134" s="3208"/>
      <c r="R134" s="3209"/>
      <c r="S134" s="3210"/>
      <c r="T134" s="3211"/>
      <c r="U134" s="3212"/>
      <c r="V134" s="3213"/>
      <c r="W134" s="3214"/>
      <c r="Y134" s="1315"/>
      <c r="Z134" s="1315"/>
      <c r="AA134" s="1315"/>
      <c r="AB134" s="1315"/>
      <c r="AC134" s="1315"/>
      <c r="AD134" s="1315"/>
      <c r="AE134" s="1315"/>
      <c r="AF134" s="1315"/>
      <c r="AG134" s="1315"/>
      <c r="AH134" s="1315"/>
      <c r="AI134" s="1315"/>
      <c r="AJ134" s="1315"/>
      <c r="AK134" s="1315"/>
      <c r="AL134" s="1315"/>
      <c r="AM134" s="1315"/>
      <c r="AN134" s="1315"/>
      <c r="AO134" s="1315"/>
      <c r="AP134" s="1315"/>
      <c r="AQ134" s="1315"/>
      <c r="AR134" s="1497">
        <v>0</v>
      </c>
    </row>
    <row s="2983" customFormat="1" customHeight="1" ht="17.25">
      <c r="A135" s="377"/>
      <c r="C135" s="376"/>
      <c r="D135" s="2192"/>
      <c r="E135" s="2200"/>
      <c r="F135" s="2203"/>
      <c r="G135" s="3215"/>
      <c r="H135" s="3216"/>
      <c r="I135" s="3217"/>
      <c r="J135" s="3218" t="s">
        <v>360</v>
      </c>
      <c r="K135" s="3219"/>
      <c r="L135" s="3220"/>
      <c r="M135" s="3221"/>
      <c r="N135" s="3222"/>
      <c r="O135" s="3223"/>
      <c r="P135" s="3224"/>
      <c r="Q135" s="3225"/>
      <c r="R135" s="3226"/>
      <c r="S135" s="3227"/>
      <c r="T135" s="3228"/>
      <c r="U135" s="3229"/>
      <c r="V135" s="3230"/>
      <c r="W135" s="3231"/>
      <c r="Y135" s="1315"/>
      <c r="Z135" s="1315"/>
      <c r="AA135" s="1315"/>
      <c r="AB135" s="1315"/>
      <c r="AC135" s="1315"/>
      <c r="AD135" s="1315"/>
      <c r="AE135" s="1315"/>
      <c r="AF135" s="1315"/>
      <c r="AG135" s="1315"/>
      <c r="AH135" s="1315"/>
      <c r="AI135" s="1315"/>
      <c r="AJ135" s="1315"/>
      <c r="AK135" s="1315"/>
      <c r="AL135" s="1315"/>
      <c r="AM135" s="1315"/>
      <c r="AN135" s="1315"/>
      <c r="AO135" s="1315"/>
      <c r="AP135" s="1315"/>
      <c r="AQ135" s="1315"/>
      <c r="AR135" s="1406">
        <v>0</v>
      </c>
    </row>
    <row s="2983" customFormat="1" customHeight="1" ht="17.25">
      <c r="A136" s="377"/>
      <c r="C136" s="265"/>
      <c r="D136" s="2191">
        <v>2</v>
      </c>
      <c r="E136" s="2199" t="s">
        <v>361</v>
      </c>
      <c r="F136" s="2201" t="s">
        <v>19</v>
      </c>
      <c r="G136" s="2199"/>
      <c r="H136" s="2204"/>
      <c r="I136" s="2206"/>
      <c r="J136" s="2208"/>
      <c r="K136" s="2193"/>
      <c r="L136" s="2193"/>
      <c r="M136" s="2193"/>
      <c r="N136" s="2195"/>
      <c r="O136" s="2193"/>
      <c r="P136" s="2193"/>
      <c r="Q136" s="2193"/>
      <c r="R136" s="2198"/>
      <c r="S136" s="2193"/>
      <c r="T136" s="1499"/>
      <c r="U136" s="1499"/>
      <c r="V136" s="1501"/>
      <c r="W136" s="1352"/>
      <c r="X136" s="1323"/>
      <c r="Y136" s="1323"/>
      <c r="Z136" s="1323"/>
      <c r="AA136" s="1323"/>
      <c r="AB136" s="1323"/>
      <c r="AC136" s="1323" t="s">
        <v>362</v>
      </c>
      <c r="AD136" s="1323" t="s">
        <v>363</v>
      </c>
      <c r="AE136" s="1323" t="s">
        <v>364</v>
      </c>
      <c r="AF136" s="1323" t="s">
        <v>365</v>
      </c>
      <c r="AG136" s="1323"/>
      <c r="AH136" s="1323" t="str">
        <f>IF($E$136=0,"",$E$136)</f>
        <v>Тариф на техническую воду</v>
      </c>
      <c r="AI136" s="1323" t="str">
        <f>IF($G$136=0,"",$G$136)</f>
        <v/>
      </c>
      <c r="AJ136" s="1323" t="str">
        <f>IF($J$136=0,"",$J$136)</f>
        <v/>
      </c>
      <c r="AK136" s="1323" t="str">
        <f>IF($K$136="нет","без дифференциации",IF($N$136=0,"",$N$136))</f>
        <v/>
      </c>
      <c r="AL136" s="1323" t="str">
        <f>IF($O$136="нет","без дифференциации",IF($R$136=0,"",$R$136))</f>
        <v/>
      </c>
      <c r="AM136" s="1323" t="str">
        <f>IF($S$136="нет","без дифференциации",IF($V$136=0,"",$V$136))</f>
        <v/>
      </c>
      <c r="AN136" s="1828">
        <f>$I$136</f>
        <v>0</v>
      </c>
      <c r="AO136" s="1323" t="str">
        <f>$I$136&amp;"."&amp;$M$136</f>
        <v>.</v>
      </c>
      <c r="AP136" s="1315" t="str">
        <f>$I$136&amp;"."&amp;$M$136&amp;"."&amp;$Q$136</f>
        <v>..</v>
      </c>
      <c r="AQ136" s="1315" t="str">
        <f>$I$136&amp;"."&amp;$M$136&amp;"."&amp;$Q$136&amp;"."&amp;$U$136</f>
        <v>...</v>
      </c>
      <c r="AR136" s="1406">
        <v>0</v>
      </c>
    </row>
    <row s="2983" customFormat="1" customHeight="1" ht="17.25">
      <c r="A137" s="377"/>
      <c r="C137" s="376"/>
      <c r="D137" s="2191"/>
      <c r="E137" s="2199"/>
      <c r="F137" s="2202"/>
      <c r="G137" s="2199"/>
      <c r="H137" s="2205"/>
      <c r="I137" s="2207"/>
      <c r="J137" s="2209"/>
      <c r="K137" s="2194"/>
      <c r="L137" s="2194"/>
      <c r="M137" s="2194"/>
      <c r="N137" s="2196"/>
      <c r="O137" s="2194"/>
      <c r="P137" s="2194"/>
      <c r="Q137" s="2194"/>
      <c r="R137" s="2197"/>
      <c r="S137" s="2194"/>
      <c r="T137" s="1353"/>
      <c r="U137" s="1353"/>
      <c r="V137" s="1353"/>
      <c r="W137" s="1354"/>
      <c r="X137" s="1315"/>
      <c r="Y137" s="1315"/>
      <c r="Z137" s="1315"/>
      <c r="AA137" s="1315"/>
      <c r="AB137" s="1315"/>
      <c r="AC137" s="1315"/>
      <c r="AD137" s="1315"/>
      <c r="AE137" s="1315"/>
      <c r="AF137" s="1315"/>
      <c r="AG137" s="1315"/>
      <c r="AH137" s="1315"/>
      <c r="AI137" s="1315"/>
      <c r="AJ137" s="1315"/>
      <c r="AK137" s="1315"/>
      <c r="AL137" s="1315"/>
      <c r="AM137" s="1315"/>
      <c r="AN137" s="1315"/>
      <c r="AO137" s="1315"/>
      <c r="AP137" s="1315"/>
      <c r="AQ137" s="1315"/>
      <c r="AR137" s="1406">
        <v>0</v>
      </c>
    </row>
    <row s="2983" customFormat="1" customHeight="1" ht="17.25">
      <c r="A138" s="377"/>
      <c r="C138" s="376"/>
      <c r="D138" s="2192"/>
      <c r="E138" s="2200"/>
      <c r="F138" s="2202"/>
      <c r="G138" s="2200"/>
      <c r="H138" s="2205"/>
      <c r="I138" s="2207"/>
      <c r="J138" s="2210"/>
      <c r="K138" s="2194"/>
      <c r="L138" s="2194"/>
      <c r="M138" s="2194"/>
      <c r="N138" s="2197"/>
      <c r="O138" s="2194"/>
      <c r="P138" s="1500"/>
      <c r="Q138" s="1353"/>
      <c r="R138" s="1353"/>
      <c r="S138" s="385"/>
      <c r="T138" s="385"/>
      <c r="U138" s="385"/>
      <c r="V138" s="385"/>
      <c r="W138" s="1354"/>
      <c r="X138" s="1315"/>
      <c r="Y138" s="1315"/>
      <c r="Z138" s="1315"/>
      <c r="AA138" s="1315"/>
      <c r="AB138" s="1315"/>
      <c r="AC138" s="1315"/>
      <c r="AD138" s="1315"/>
      <c r="AE138" s="1315"/>
      <c r="AF138" s="1315"/>
      <c r="AG138" s="1315"/>
      <c r="AH138" s="1315"/>
      <c r="AI138" s="1315"/>
      <c r="AJ138" s="1315"/>
      <c r="AK138" s="1315"/>
      <c r="AL138" s="1315"/>
      <c r="AM138" s="1315"/>
      <c r="AN138" s="1315"/>
      <c r="AO138" s="1315"/>
      <c r="AP138" s="1315"/>
      <c r="AQ138" s="1315"/>
      <c r="AR138" s="1406">
        <v>0</v>
      </c>
    </row>
    <row s="2983" customFormat="1" customHeight="1" ht="17.25">
      <c r="A139" s="377"/>
      <c r="C139" s="376"/>
      <c r="D139" s="2192"/>
      <c r="E139" s="2200"/>
      <c r="F139" s="2202"/>
      <c r="G139" s="2200"/>
      <c r="H139" s="2205"/>
      <c r="I139" s="2207"/>
      <c r="J139" s="2210"/>
      <c r="K139" s="2194"/>
      <c r="L139" s="1353"/>
      <c r="M139" s="1353"/>
      <c r="N139" s="1353"/>
      <c r="O139" s="1353"/>
      <c r="P139" s="1353"/>
      <c r="Q139" s="1353"/>
      <c r="R139" s="1353"/>
      <c r="S139" s="385"/>
      <c r="T139" s="385"/>
      <c r="U139" s="385"/>
      <c r="V139" s="385"/>
      <c r="W139" s="1354"/>
      <c r="X139" s="1315"/>
      <c r="Y139" s="1315"/>
      <c r="Z139" s="1315"/>
      <c r="AA139" s="1315"/>
      <c r="AB139" s="1315"/>
      <c r="AC139" s="1315"/>
      <c r="AD139" s="1315"/>
      <c r="AE139" s="1315"/>
      <c r="AF139" s="1315"/>
      <c r="AG139" s="1315"/>
      <c r="AH139" s="1315"/>
      <c r="AI139" s="1315"/>
      <c r="AJ139" s="1315"/>
      <c r="AK139" s="1315"/>
      <c r="AL139" s="1315"/>
      <c r="AM139" s="1315"/>
      <c r="AN139" s="1315"/>
      <c r="AO139" s="1315"/>
      <c r="AP139" s="1315"/>
      <c r="AQ139" s="1315"/>
      <c r="AR139" s="1406">
        <v>0</v>
      </c>
    </row>
    <row s="2983" customFormat="1" customHeight="1" ht="17.25">
      <c r="A140" s="377"/>
      <c r="C140" s="376"/>
      <c r="D140" s="2192"/>
      <c r="E140" s="2200"/>
      <c r="F140" s="2203"/>
      <c r="G140" s="2200"/>
      <c r="H140" s="1355"/>
      <c r="I140" s="1356"/>
      <c r="J140" s="1356"/>
      <c r="K140" s="1356"/>
      <c r="L140" s="1356"/>
      <c r="M140" s="1356"/>
      <c r="N140" s="1356"/>
      <c r="O140" s="1356"/>
      <c r="P140" s="1356"/>
      <c r="Q140" s="1356"/>
      <c r="R140" s="1356"/>
      <c r="S140" s="1357"/>
      <c r="T140" s="1357"/>
      <c r="U140" s="1357"/>
      <c r="V140" s="1357"/>
      <c r="W140" s="1358"/>
      <c r="X140" s="1315"/>
      <c r="Y140" s="1315"/>
      <c r="Z140" s="1315"/>
      <c r="AA140" s="1315"/>
      <c r="AB140" s="1315"/>
      <c r="AC140" s="1315"/>
      <c r="AD140" s="1315"/>
      <c r="AE140" s="1315"/>
      <c r="AF140" s="1315"/>
      <c r="AG140" s="1315"/>
      <c r="AH140" s="1315"/>
      <c r="AI140" s="1315"/>
      <c r="AJ140" s="1315"/>
      <c r="AK140" s="1315"/>
      <c r="AL140" s="1315"/>
      <c r="AM140" s="1315"/>
      <c r="AN140" s="1315"/>
      <c r="AO140" s="1315"/>
      <c r="AP140" s="1315"/>
      <c r="AQ140" s="1315"/>
      <c r="AR140" s="1406">
        <v>0</v>
      </c>
    </row>
    <row s="2983" customFormat="1" customHeight="1" ht="17.25">
      <c r="A141" s="377"/>
      <c r="C141" s="265"/>
      <c r="D141" s="2191">
        <v>3</v>
      </c>
      <c r="E141" s="2199" t="s">
        <v>366</v>
      </c>
      <c r="F141" s="2201" t="s">
        <v>19</v>
      </c>
      <c r="G141" s="2199"/>
      <c r="H141" s="2204"/>
      <c r="I141" s="2206"/>
      <c r="J141" s="2208"/>
      <c r="K141" s="2193"/>
      <c r="L141" s="2193"/>
      <c r="M141" s="2193"/>
      <c r="N141" s="2195"/>
      <c r="O141" s="2193"/>
      <c r="P141" s="2193"/>
      <c r="Q141" s="2193"/>
      <c r="R141" s="2198"/>
      <c r="S141" s="2193"/>
      <c r="T141" s="1499"/>
      <c r="U141" s="1499"/>
      <c r="V141" s="1501"/>
      <c r="W141" s="1352"/>
      <c r="X141" s="1323"/>
      <c r="Y141" s="1323"/>
      <c r="Z141" s="1323"/>
      <c r="AA141" s="1323"/>
      <c r="AB141" s="1323"/>
      <c r="AC141" s="1323" t="s">
        <v>367</v>
      </c>
      <c r="AD141" s="1323" t="s">
        <v>368</v>
      </c>
      <c r="AE141" s="1323" t="s">
        <v>369</v>
      </c>
      <c r="AF141" s="1323" t="s">
        <v>370</v>
      </c>
      <c r="AG141" s="1323"/>
      <c r="AH141" s="1323" t="str">
        <f>IF($E$141=0,"",$E$141)</f>
        <v>Тариф на транспортировку воды</v>
      </c>
      <c r="AI141" s="1323" t="str">
        <f>IF($G$141=0,"",$G$141)</f>
        <v/>
      </c>
      <c r="AJ141" s="1323" t="str">
        <f>IF($J$141=0,"",$J$141)</f>
        <v/>
      </c>
      <c r="AK141" s="1323" t="str">
        <f>IF($K$141="нет","без дифференциации",IF($N$141=0,"",$N$141))</f>
        <v/>
      </c>
      <c r="AL141" s="1323" t="str">
        <f>IF($O$141="нет","без дифференциации",IF($R$141=0,"",$R$141))</f>
        <v/>
      </c>
      <c r="AM141" s="1323" t="str">
        <f>IF($S$141="нет","без дифференциации",IF($V$141=0,"",$V$141))</f>
        <v/>
      </c>
      <c r="AN141" s="1828">
        <f>$I$141</f>
        <v>0</v>
      </c>
      <c r="AO141" s="1323" t="str">
        <f>$I$141&amp;"."&amp;$M$141</f>
        <v>.</v>
      </c>
      <c r="AP141" s="1315" t="str">
        <f>$I$141&amp;"."&amp;$M$141&amp;"."&amp;$Q$141</f>
        <v>..</v>
      </c>
      <c r="AQ141" s="1315" t="str">
        <f>$I$141&amp;"."&amp;$M$141&amp;"."&amp;$Q$141&amp;"."&amp;$U$141</f>
        <v>...</v>
      </c>
      <c r="AR141" s="1406">
        <v>0</v>
      </c>
    </row>
    <row s="2983" customFormat="1" customHeight="1" ht="17.25">
      <c r="A142" s="377"/>
      <c r="C142" s="376"/>
      <c r="D142" s="2191"/>
      <c r="E142" s="2199"/>
      <c r="F142" s="2202"/>
      <c r="G142" s="2199"/>
      <c r="H142" s="2205"/>
      <c r="I142" s="2207"/>
      <c r="J142" s="2209"/>
      <c r="K142" s="2194"/>
      <c r="L142" s="2194"/>
      <c r="M142" s="2194"/>
      <c r="N142" s="2196"/>
      <c r="O142" s="2194"/>
      <c r="P142" s="2194"/>
      <c r="Q142" s="2194"/>
      <c r="R142" s="2197"/>
      <c r="S142" s="2194"/>
      <c r="T142" s="1353"/>
      <c r="U142" s="1353"/>
      <c r="V142" s="1353"/>
      <c r="W142" s="1354"/>
      <c r="X142" s="1315"/>
      <c r="Y142" s="1315"/>
      <c r="Z142" s="1315"/>
      <c r="AA142" s="1315"/>
      <c r="AB142" s="1315"/>
      <c r="AC142" s="1315"/>
      <c r="AD142" s="1315"/>
      <c r="AE142" s="1315"/>
      <c r="AF142" s="1315"/>
      <c r="AG142" s="1315"/>
      <c r="AH142" s="1315"/>
      <c r="AI142" s="1315"/>
      <c r="AJ142" s="1315"/>
      <c r="AK142" s="1315"/>
      <c r="AL142" s="1315"/>
      <c r="AM142" s="1315"/>
      <c r="AN142" s="1315"/>
      <c r="AO142" s="1315"/>
      <c r="AP142" s="1315"/>
      <c r="AQ142" s="1315"/>
      <c r="AR142" s="1406">
        <v>0</v>
      </c>
    </row>
    <row s="2983" customFormat="1" customHeight="1" ht="17.25">
      <c r="A143" s="377"/>
      <c r="C143" s="376"/>
      <c r="D143" s="2192"/>
      <c r="E143" s="2200"/>
      <c r="F143" s="2202"/>
      <c r="G143" s="2200"/>
      <c r="H143" s="2205"/>
      <c r="I143" s="2207"/>
      <c r="J143" s="2210"/>
      <c r="K143" s="2194"/>
      <c r="L143" s="2194"/>
      <c r="M143" s="2194"/>
      <c r="N143" s="2197"/>
      <c r="O143" s="2194"/>
      <c r="P143" s="1500"/>
      <c r="Q143" s="1353"/>
      <c r="R143" s="1353"/>
      <c r="S143" s="385"/>
      <c r="T143" s="385"/>
      <c r="U143" s="385"/>
      <c r="V143" s="385"/>
      <c r="W143" s="1354"/>
      <c r="X143" s="1315"/>
      <c r="Y143" s="1315"/>
      <c r="Z143" s="1315"/>
      <c r="AA143" s="1315"/>
      <c r="AB143" s="1315"/>
      <c r="AC143" s="1315"/>
      <c r="AD143" s="1315"/>
      <c r="AE143" s="1315"/>
      <c r="AF143" s="1315"/>
      <c r="AG143" s="1315"/>
      <c r="AH143" s="1315"/>
      <c r="AI143" s="1315"/>
      <c r="AJ143" s="1315"/>
      <c r="AK143" s="1315"/>
      <c r="AL143" s="1315"/>
      <c r="AM143" s="1315"/>
      <c r="AN143" s="1315"/>
      <c r="AO143" s="1315"/>
      <c r="AP143" s="1315"/>
      <c r="AQ143" s="1315"/>
      <c r="AR143" s="1406">
        <v>0</v>
      </c>
    </row>
    <row s="2983" customFormat="1" customHeight="1" ht="17.25">
      <c r="A144" s="377"/>
      <c r="C144" s="376"/>
      <c r="D144" s="2192"/>
      <c r="E144" s="2200"/>
      <c r="F144" s="2202"/>
      <c r="G144" s="2200"/>
      <c r="H144" s="2205"/>
      <c r="I144" s="2207"/>
      <c r="J144" s="2210"/>
      <c r="K144" s="2194"/>
      <c r="L144" s="1353"/>
      <c r="M144" s="1353"/>
      <c r="N144" s="1353"/>
      <c r="O144" s="1353"/>
      <c r="P144" s="1353"/>
      <c r="Q144" s="1353"/>
      <c r="R144" s="1353"/>
      <c r="S144" s="385"/>
      <c r="T144" s="385"/>
      <c r="U144" s="385"/>
      <c r="V144" s="385"/>
      <c r="W144" s="1354"/>
      <c r="X144" s="1315"/>
      <c r="Y144" s="1315"/>
      <c r="Z144" s="1315"/>
      <c r="AA144" s="1315"/>
      <c r="AB144" s="1315"/>
      <c r="AC144" s="1315"/>
      <c r="AD144" s="1315"/>
      <c r="AE144" s="1315"/>
      <c r="AF144" s="1315"/>
      <c r="AG144" s="1315"/>
      <c r="AH144" s="1315"/>
      <c r="AI144" s="1315"/>
      <c r="AJ144" s="1315"/>
      <c r="AK144" s="1315"/>
      <c r="AL144" s="1315"/>
      <c r="AM144" s="1315"/>
      <c r="AN144" s="1315"/>
      <c r="AO144" s="1315"/>
      <c r="AP144" s="1315"/>
      <c r="AQ144" s="1315"/>
      <c r="AR144" s="1406">
        <v>0</v>
      </c>
    </row>
    <row s="2983" customFormat="1" customHeight="1" ht="17.25">
      <c r="A145" s="377"/>
      <c r="C145" s="376"/>
      <c r="D145" s="2192"/>
      <c r="E145" s="2200"/>
      <c r="F145" s="2203"/>
      <c r="G145" s="2200"/>
      <c r="H145" s="1355"/>
      <c r="I145" s="1356"/>
      <c r="J145" s="1356"/>
      <c r="K145" s="1356"/>
      <c r="L145" s="1356"/>
      <c r="M145" s="1356"/>
      <c r="N145" s="1356"/>
      <c r="O145" s="1356"/>
      <c r="P145" s="1356"/>
      <c r="Q145" s="1356"/>
      <c r="R145" s="1356"/>
      <c r="S145" s="1357"/>
      <c r="T145" s="1357"/>
      <c r="U145" s="1357"/>
      <c r="V145" s="1357"/>
      <c r="W145" s="1358"/>
      <c r="X145" s="1315"/>
      <c r="Y145" s="1315"/>
      <c r="Z145" s="1315"/>
      <c r="AA145" s="1315"/>
      <c r="AB145" s="1315"/>
      <c r="AC145" s="1315"/>
      <c r="AD145" s="1315"/>
      <c r="AE145" s="1315"/>
      <c r="AF145" s="1315"/>
      <c r="AG145" s="1315"/>
      <c r="AH145" s="1315"/>
      <c r="AI145" s="1315"/>
      <c r="AJ145" s="1315"/>
      <c r="AK145" s="1315"/>
      <c r="AL145" s="1315"/>
      <c r="AM145" s="1315"/>
      <c r="AN145" s="1315"/>
      <c r="AO145" s="1315"/>
      <c r="AP145" s="1315"/>
      <c r="AQ145" s="1315"/>
      <c r="AR145" s="1406">
        <v>0</v>
      </c>
    </row>
    <row s="2983" customFormat="1" customHeight="1" ht="17.25">
      <c r="A146" s="377"/>
      <c r="C146" s="265"/>
      <c r="D146" s="2191">
        <v>4</v>
      </c>
      <c r="E146" s="2199" t="s">
        <v>371</v>
      </c>
      <c r="F146" s="2201" t="s">
        <v>19</v>
      </c>
      <c r="G146" s="2199"/>
      <c r="H146" s="2204"/>
      <c r="I146" s="2206"/>
      <c r="J146" s="2208"/>
      <c r="K146" s="2193"/>
      <c r="L146" s="2193"/>
      <c r="M146" s="2193"/>
      <c r="N146" s="2195"/>
      <c r="O146" s="2193"/>
      <c r="P146" s="2193"/>
      <c r="Q146" s="2193"/>
      <c r="R146" s="2198"/>
      <c r="S146" s="2193"/>
      <c r="T146" s="1499"/>
      <c r="U146" s="1499"/>
      <c r="V146" s="1501"/>
      <c r="W146" s="1352"/>
      <c r="X146" s="1323"/>
      <c r="Y146" s="1323"/>
      <c r="Z146" s="1323"/>
      <c r="AA146" s="1323"/>
      <c r="AB146" s="1323"/>
      <c r="AC146" s="1323" t="s">
        <v>372</v>
      </c>
      <c r="AD146" s="1323" t="s">
        <v>373</v>
      </c>
      <c r="AE146" s="1323" t="s">
        <v>374</v>
      </c>
      <c r="AF146" s="1323" t="s">
        <v>375</v>
      </c>
      <c r="AG146" s="1323"/>
      <c r="AH146" s="1323" t="str">
        <f>IF($E$146=0,"",$E$146)</f>
        <v>Тариф на подвоз воды</v>
      </c>
      <c r="AI146" s="1323" t="str">
        <f>IF($G$146=0,"",$G$146)</f>
        <v/>
      </c>
      <c r="AJ146" s="1323" t="str">
        <f>IF($J$146=0,"",$J$146)</f>
        <v/>
      </c>
      <c r="AK146" s="1323" t="str">
        <f>IF($K$146="нет","без дифференциации",IF($N$146=0,"",$N$146))</f>
        <v/>
      </c>
      <c r="AL146" s="1323" t="str">
        <f>IF($O$146="нет","без дифференциации",IF($R$146=0,"",$R$146))</f>
        <v/>
      </c>
      <c r="AM146" s="1323" t="str">
        <f>IF($S$146="нет","без дифференциации",IF($V$146=0,"",$V$146))</f>
        <v/>
      </c>
      <c r="AN146" s="1828">
        <f>$I$146</f>
        <v>0</v>
      </c>
      <c r="AO146" s="1323" t="str">
        <f>$I$146&amp;"."&amp;$M$146</f>
        <v>.</v>
      </c>
      <c r="AP146" s="1315" t="str">
        <f>$I$146&amp;"."&amp;$M$146&amp;"."&amp;$Q$146</f>
        <v>..</v>
      </c>
      <c r="AQ146" s="1315" t="str">
        <f>$I$146&amp;"."&amp;$M$146&amp;"."&amp;$Q$146&amp;"."&amp;$U$146</f>
        <v>...</v>
      </c>
      <c r="AR146" s="1406">
        <v>0</v>
      </c>
    </row>
    <row s="2983" customFormat="1" customHeight="1" ht="17.25">
      <c r="A147" s="377"/>
      <c r="C147" s="376"/>
      <c r="D147" s="2191"/>
      <c r="E147" s="2199"/>
      <c r="F147" s="2202"/>
      <c r="G147" s="2199"/>
      <c r="H147" s="2205"/>
      <c r="I147" s="2207"/>
      <c r="J147" s="2209"/>
      <c r="K147" s="2194"/>
      <c r="L147" s="2194"/>
      <c r="M147" s="2194"/>
      <c r="N147" s="2196"/>
      <c r="O147" s="2194"/>
      <c r="P147" s="2194"/>
      <c r="Q147" s="2194"/>
      <c r="R147" s="2197"/>
      <c r="S147" s="2194"/>
      <c r="T147" s="1353"/>
      <c r="U147" s="1353"/>
      <c r="V147" s="1353"/>
      <c r="W147" s="1354"/>
      <c r="X147" s="1315"/>
      <c r="Y147" s="1315"/>
      <c r="Z147" s="1315"/>
      <c r="AA147" s="1315"/>
      <c r="AB147" s="1315"/>
      <c r="AC147" s="1315"/>
      <c r="AD147" s="1315"/>
      <c r="AE147" s="1315"/>
      <c r="AF147" s="1315"/>
      <c r="AG147" s="1315"/>
      <c r="AH147" s="1315"/>
      <c r="AI147" s="1315"/>
      <c r="AJ147" s="1315"/>
      <c r="AK147" s="1315"/>
      <c r="AL147" s="1315"/>
      <c r="AM147" s="1315"/>
      <c r="AN147" s="1315"/>
      <c r="AO147" s="1315"/>
      <c r="AP147" s="1315"/>
      <c r="AQ147" s="1315"/>
      <c r="AR147" s="1406">
        <v>0</v>
      </c>
    </row>
    <row s="2983" customFormat="1" customHeight="1" ht="17.25">
      <c r="A148" s="377"/>
      <c r="C148" s="376"/>
      <c r="D148" s="2192"/>
      <c r="E148" s="2200"/>
      <c r="F148" s="2202"/>
      <c r="G148" s="2200"/>
      <c r="H148" s="2205"/>
      <c r="I148" s="2207"/>
      <c r="J148" s="2210"/>
      <c r="K148" s="2194"/>
      <c r="L148" s="2194"/>
      <c r="M148" s="2194"/>
      <c r="N148" s="2197"/>
      <c r="O148" s="2194"/>
      <c r="P148" s="1500"/>
      <c r="Q148" s="1353"/>
      <c r="R148" s="1353"/>
      <c r="S148" s="385"/>
      <c r="T148" s="385"/>
      <c r="U148" s="385"/>
      <c r="V148" s="385"/>
      <c r="W148" s="1354"/>
      <c r="X148" s="1315"/>
      <c r="Y148" s="1315"/>
      <c r="Z148" s="1315"/>
      <c r="AA148" s="1315"/>
      <c r="AB148" s="1315"/>
      <c r="AC148" s="1315"/>
      <c r="AD148" s="1315"/>
      <c r="AE148" s="1315"/>
      <c r="AF148" s="1315"/>
      <c r="AG148" s="1315"/>
      <c r="AH148" s="1315"/>
      <c r="AI148" s="1315"/>
      <c r="AJ148" s="1315"/>
      <c r="AK148" s="1315"/>
      <c r="AL148" s="1315"/>
      <c r="AM148" s="1315"/>
      <c r="AN148" s="1315"/>
      <c r="AO148" s="1315"/>
      <c r="AP148" s="1315"/>
      <c r="AQ148" s="1315"/>
      <c r="AR148" s="1406">
        <v>0</v>
      </c>
    </row>
    <row s="2983" customFormat="1" customHeight="1" ht="17.25">
      <c r="A149" s="377"/>
      <c r="C149" s="376"/>
      <c r="D149" s="2192"/>
      <c r="E149" s="2200"/>
      <c r="F149" s="2202"/>
      <c r="G149" s="2200"/>
      <c r="H149" s="2205"/>
      <c r="I149" s="2207"/>
      <c r="J149" s="2210"/>
      <c r="K149" s="2194"/>
      <c r="L149" s="1353"/>
      <c r="M149" s="1353"/>
      <c r="N149" s="1353"/>
      <c r="O149" s="1353"/>
      <c r="P149" s="1353"/>
      <c r="Q149" s="1353"/>
      <c r="R149" s="1353"/>
      <c r="S149" s="385"/>
      <c r="T149" s="385"/>
      <c r="U149" s="385"/>
      <c r="V149" s="385"/>
      <c r="W149" s="1354"/>
      <c r="X149" s="1315"/>
      <c r="Y149" s="1315"/>
      <c r="Z149" s="1315"/>
      <c r="AA149" s="1315"/>
      <c r="AB149" s="1315"/>
      <c r="AC149" s="1315"/>
      <c r="AD149" s="1315"/>
      <c r="AE149" s="1315"/>
      <c r="AF149" s="1315"/>
      <c r="AG149" s="1315"/>
      <c r="AH149" s="1315"/>
      <c r="AI149" s="1315"/>
      <c r="AJ149" s="1315"/>
      <c r="AK149" s="1315"/>
      <c r="AL149" s="1315"/>
      <c r="AM149" s="1315"/>
      <c r="AN149" s="1315"/>
      <c r="AO149" s="1315"/>
      <c r="AP149" s="1315"/>
      <c r="AQ149" s="1315"/>
      <c r="AR149" s="1406">
        <v>0</v>
      </c>
    </row>
    <row s="2983" customFormat="1" customHeight="1" ht="17.25">
      <c r="A150" s="377"/>
      <c r="C150" s="376"/>
      <c r="D150" s="2192"/>
      <c r="E150" s="2200"/>
      <c r="F150" s="2203"/>
      <c r="G150" s="2200"/>
      <c r="H150" s="1355"/>
      <c r="I150" s="1356"/>
      <c r="J150" s="1356"/>
      <c r="K150" s="1356"/>
      <c r="L150" s="1356"/>
      <c r="M150" s="1356"/>
      <c r="N150" s="1356"/>
      <c r="O150" s="1356"/>
      <c r="P150" s="1356"/>
      <c r="Q150" s="1356"/>
      <c r="R150" s="1356"/>
      <c r="S150" s="1357"/>
      <c r="T150" s="1357"/>
      <c r="U150" s="1357"/>
      <c r="V150" s="1357"/>
      <c r="W150" s="1358"/>
      <c r="X150" s="1315"/>
      <c r="Y150" s="1315"/>
      <c r="Z150" s="1315"/>
      <c r="AA150" s="1315"/>
      <c r="AB150" s="1315"/>
      <c r="AC150" s="1315"/>
      <c r="AD150" s="1315"/>
      <c r="AE150" s="1315"/>
      <c r="AF150" s="1315"/>
      <c r="AG150" s="1315"/>
      <c r="AH150" s="1315"/>
      <c r="AI150" s="1315"/>
      <c r="AJ150" s="1315"/>
      <c r="AK150" s="1315"/>
      <c r="AL150" s="1315"/>
      <c r="AM150" s="1315"/>
      <c r="AN150" s="1315"/>
      <c r="AO150" s="1315"/>
      <c r="AP150" s="1315"/>
      <c r="AQ150" s="1315"/>
      <c r="AR150" s="1406">
        <v>0</v>
      </c>
    </row>
    <row s="2983" customFormat="1" customHeight="1" ht="17.25">
      <c r="A151" s="377"/>
      <c r="C151" s="265"/>
      <c r="D151" s="2191">
        <v>5</v>
      </c>
      <c r="E151" s="2199" t="s">
        <v>376</v>
      </c>
      <c r="F151" s="2201" t="s">
        <v>19</v>
      </c>
      <c r="G151" s="2199"/>
      <c r="H151" s="2204"/>
      <c r="I151" s="2206"/>
      <c r="J151" s="2208"/>
      <c r="K151" s="2193"/>
      <c r="L151" s="2193"/>
      <c r="M151" s="2193"/>
      <c r="N151" s="2195"/>
      <c r="O151" s="2193"/>
      <c r="P151" s="2193"/>
      <c r="Q151" s="2193"/>
      <c r="R151" s="2198"/>
      <c r="S151" s="2193"/>
      <c r="T151" s="1999"/>
      <c r="U151" s="1999"/>
      <c r="V151" s="2001"/>
      <c r="W151" s="1352"/>
      <c r="X151" s="1323"/>
      <c r="Y151" s="1323"/>
      <c r="Z151" s="1323"/>
      <c r="AA151" s="1323"/>
      <c r="AB151" s="1323"/>
      <c r="AC151" s="1323" t="s">
        <v>377</v>
      </c>
      <c r="AD151" s="1323" t="s">
        <v>378</v>
      </c>
      <c r="AE151" s="1323" t="s">
        <v>379</v>
      </c>
      <c r="AF151" s="1323" t="s">
        <v>380</v>
      </c>
      <c r="AG151" s="1323"/>
      <c r="AH151" s="1323" t="str">
        <f>IF($E$151=0,"",$E$151)</f>
        <v>Тариф на подключение (технологическое присоединение) к централизованной системе холодного водоснабжения</v>
      </c>
      <c r="AI151" s="1323" t="str">
        <f>IF($G$151=0,"",$G$151)</f>
        <v/>
      </c>
      <c r="AJ151" s="1323" t="str">
        <f>IF($J$151=0,"",$J$151)</f>
        <v/>
      </c>
      <c r="AK151" s="1323" t="str">
        <f>IF($K$151="нет","без дифференциации",IF($N$151=0,"",$N$151))</f>
        <v/>
      </c>
      <c r="AL151" s="1323" t="str">
        <f>IF($O$151="нет","без дифференциации",IF($R$151=0,"",$R$151))</f>
        <v/>
      </c>
      <c r="AM151" s="1323" t="str">
        <f>IF($S$151="нет","без дифференциации",IF($V$151=0,"",$V$151))</f>
        <v/>
      </c>
      <c r="AN151" s="1828">
        <f>$I$151</f>
        <v>0</v>
      </c>
      <c r="AO151" s="1323" t="str">
        <f>$I$151&amp;"."&amp;$M$151</f>
        <v>.</v>
      </c>
      <c r="AP151" s="1322" t="str">
        <f>$I$151&amp;"."&amp;$M$151&amp;"."&amp;$Q$151</f>
        <v>..</v>
      </c>
      <c r="AQ151" s="1322" t="str">
        <f>$I$151&amp;"."&amp;$M$151&amp;"."&amp;$Q$151&amp;"."&amp;$U$151</f>
        <v>...</v>
      </c>
      <c r="AR151" s="1523">
        <v>0</v>
      </c>
    </row>
    <row s="2983" customFormat="1" customHeight="1" ht="17.25">
      <c r="A152" s="377"/>
      <c r="C152" s="376"/>
      <c r="D152" s="2191"/>
      <c r="E152" s="2199"/>
      <c r="F152" s="2202"/>
      <c r="G152" s="2199"/>
      <c r="H152" s="2205"/>
      <c r="I152" s="2207"/>
      <c r="J152" s="2209"/>
      <c r="K152" s="2194"/>
      <c r="L152" s="2194"/>
      <c r="M152" s="2194"/>
      <c r="N152" s="2196"/>
      <c r="O152" s="2194"/>
      <c r="P152" s="2194"/>
      <c r="Q152" s="2194"/>
      <c r="R152" s="2197"/>
      <c r="S152" s="2194"/>
      <c r="T152" s="2004"/>
      <c r="U152" s="2004"/>
      <c r="V152" s="2004"/>
      <c r="W152" s="2005"/>
      <c r="X152" s="1322"/>
      <c r="Y152" s="1322"/>
      <c r="Z152" s="1322"/>
      <c r="AA152" s="1322"/>
      <c r="AB152" s="1322"/>
      <c r="AC152" s="1322"/>
      <c r="AD152" s="1322"/>
      <c r="AE152" s="1322"/>
      <c r="AF152" s="1322"/>
      <c r="AG152" s="1322"/>
      <c r="AH152" s="1322"/>
      <c r="AI152" s="1322"/>
      <c r="AJ152" s="1322"/>
      <c r="AK152" s="1322"/>
      <c r="AL152" s="1322"/>
      <c r="AM152" s="1322"/>
      <c r="AN152" s="1322"/>
      <c r="AO152" s="1322"/>
      <c r="AP152" s="1322"/>
      <c r="AQ152" s="1322"/>
      <c r="AR152" s="1523">
        <v>0</v>
      </c>
    </row>
    <row s="2983" customFormat="1" customHeight="1" ht="17.25">
      <c r="A153" s="377"/>
      <c r="C153" s="376"/>
      <c r="D153" s="2192"/>
      <c r="E153" s="2200"/>
      <c r="F153" s="2202"/>
      <c r="G153" s="2200"/>
      <c r="H153" s="2205"/>
      <c r="I153" s="2207"/>
      <c r="J153" s="2210"/>
      <c r="K153" s="2194"/>
      <c r="L153" s="2194"/>
      <c r="M153" s="2194"/>
      <c r="N153" s="2197"/>
      <c r="O153" s="2194"/>
      <c r="P153" s="2000"/>
      <c r="Q153" s="2004"/>
      <c r="R153" s="2004"/>
      <c r="S153" s="385"/>
      <c r="T153" s="385"/>
      <c r="U153" s="385"/>
      <c r="V153" s="385"/>
      <c r="W153" s="2005"/>
      <c r="X153" s="1322"/>
      <c r="Y153" s="1322"/>
      <c r="Z153" s="1322"/>
      <c r="AA153" s="1322"/>
      <c r="AB153" s="1322"/>
      <c r="AC153" s="1322"/>
      <c r="AD153" s="1322"/>
      <c r="AE153" s="1322"/>
      <c r="AF153" s="1322"/>
      <c r="AG153" s="1322"/>
      <c r="AH153" s="1322"/>
      <c r="AI153" s="1322"/>
      <c r="AJ153" s="1322"/>
      <c r="AK153" s="1322"/>
      <c r="AL153" s="1322"/>
      <c r="AM153" s="1322"/>
      <c r="AN153" s="1322"/>
      <c r="AO153" s="1322"/>
      <c r="AP153" s="1322"/>
      <c r="AQ153" s="1322"/>
      <c r="AR153" s="1523">
        <v>0</v>
      </c>
    </row>
    <row s="2983" customFormat="1" customHeight="1" ht="17.25">
      <c r="A154" s="377"/>
      <c r="C154" s="376"/>
      <c r="D154" s="2192"/>
      <c r="E154" s="2200"/>
      <c r="F154" s="2202"/>
      <c r="G154" s="2200"/>
      <c r="H154" s="2205"/>
      <c r="I154" s="2207"/>
      <c r="J154" s="2210"/>
      <c r="K154" s="2194"/>
      <c r="L154" s="2004"/>
      <c r="M154" s="2004"/>
      <c r="N154" s="2004"/>
      <c r="O154" s="2004"/>
      <c r="P154" s="2004"/>
      <c r="Q154" s="2004"/>
      <c r="R154" s="2004"/>
      <c r="S154" s="385"/>
      <c r="T154" s="385"/>
      <c r="U154" s="385"/>
      <c r="V154" s="385"/>
      <c r="W154" s="2005"/>
      <c r="X154" s="1322"/>
      <c r="Y154" s="1322"/>
      <c r="Z154" s="1322"/>
      <c r="AA154" s="1322"/>
      <c r="AB154" s="1322"/>
      <c r="AC154" s="1322"/>
      <c r="AD154" s="1322"/>
      <c r="AE154" s="1322"/>
      <c r="AF154" s="1322"/>
      <c r="AG154" s="1322"/>
      <c r="AH154" s="1322"/>
      <c r="AI154" s="1322"/>
      <c r="AJ154" s="1322"/>
      <c r="AK154" s="1322"/>
      <c r="AL154" s="1322"/>
      <c r="AM154" s="1322"/>
      <c r="AN154" s="1322"/>
      <c r="AO154" s="1322"/>
      <c r="AP154" s="1322"/>
      <c r="AQ154" s="1322"/>
      <c r="AR154" s="1523">
        <v>0</v>
      </c>
    </row>
    <row s="2983" customFormat="1" customHeight="1" ht="17.25">
      <c r="A155" s="377"/>
      <c r="C155" s="376"/>
      <c r="D155" s="2192"/>
      <c r="E155" s="2200"/>
      <c r="F155" s="2203"/>
      <c r="G155" s="2200"/>
      <c r="H155" s="1355"/>
      <c r="I155" s="2002"/>
      <c r="J155" s="2002"/>
      <c r="K155" s="2002"/>
      <c r="L155" s="2002"/>
      <c r="M155" s="2002"/>
      <c r="N155" s="2002"/>
      <c r="O155" s="2002"/>
      <c r="P155" s="2002"/>
      <c r="Q155" s="2002"/>
      <c r="R155" s="2002"/>
      <c r="S155" s="1357"/>
      <c r="T155" s="1357"/>
      <c r="U155" s="1357"/>
      <c r="V155" s="1357"/>
      <c r="W155" s="2003"/>
      <c r="X155" s="1322"/>
      <c r="Y155" s="1322"/>
      <c r="Z155" s="1322"/>
      <c r="AA155" s="1322"/>
      <c r="AB155" s="1322"/>
      <c r="AC155" s="1322"/>
      <c r="AD155" s="1322"/>
      <c r="AE155" s="1322"/>
      <c r="AF155" s="1322"/>
      <c r="AG155" s="1322"/>
      <c r="AH155" s="1322"/>
      <c r="AI155" s="1322"/>
      <c r="AJ155" s="1322"/>
      <c r="AK155" s="1322"/>
      <c r="AL155" s="1322"/>
      <c r="AM155" s="1322"/>
      <c r="AN155" s="1322"/>
      <c r="AO155" s="1322"/>
      <c r="AP155" s="1322"/>
      <c r="AQ155" s="1322"/>
      <c r="AR155" s="1523">
        <v>0</v>
      </c>
    </row>
    <row s="2983" customFormat="1" customHeight="1" ht="11.25" hidden="1">
      <c r="A156" s="333"/>
      <c r="B156" s="333"/>
      <c r="Y156" s="1315"/>
      <c r="Z156" s="1315"/>
      <c r="AA156" s="1315"/>
      <c r="AB156" s="1315"/>
      <c r="AC156" s="1315"/>
      <c r="AD156" s="1315"/>
      <c r="AE156" s="1315"/>
      <c r="AF156" s="1315"/>
      <c r="AG156" s="1315"/>
      <c r="AH156" s="1315"/>
      <c r="AI156" s="1315"/>
      <c r="AJ156" s="1315"/>
      <c r="AK156" s="1315"/>
      <c r="AL156" s="1315"/>
      <c r="AM156" s="1315"/>
      <c r="AN156" s="1315"/>
      <c r="AO156" s="1315"/>
      <c r="AP156" s="1315"/>
      <c r="AQ156" s="1315"/>
      <c r="AR156" s="1523">
        <v>0</v>
      </c>
    </row>
    <row s="2983" customFormat="1" customHeight="1" ht="17.25" hidden="1">
      <c r="A157" s="377"/>
      <c r="C157" s="265"/>
      <c r="D157" s="2191">
        <v>1</v>
      </c>
      <c r="E157" s="2199" t="s">
        <v>381</v>
      </c>
      <c r="F157" s="2201" t="s">
        <v>19</v>
      </c>
      <c r="G157" s="2199"/>
      <c r="H157" s="2204"/>
      <c r="I157" s="2206"/>
      <c r="J157" s="2208"/>
      <c r="K157" s="2193"/>
      <c r="L157" s="2193"/>
      <c r="M157" s="2193"/>
      <c r="N157" s="2195"/>
      <c r="O157" s="2193"/>
      <c r="P157" s="2193"/>
      <c r="Q157" s="2193"/>
      <c r="R157" s="2198"/>
      <c r="S157" s="2193"/>
      <c r="T157" s="1526"/>
      <c r="U157" s="1526"/>
      <c r="V157" s="1528"/>
      <c r="W157" s="1352"/>
      <c r="Y157" s="1323"/>
      <c r="Z157" s="1323"/>
      <c r="AA157" s="1323"/>
      <c r="AB157" s="1323"/>
      <c r="AC157" s="1323" t="s">
        <v>382</v>
      </c>
      <c r="AD157" s="1323" t="s">
        <v>383</v>
      </c>
      <c r="AE157" s="1323" t="s">
        <v>384</v>
      </c>
      <c r="AF157" s="1323" t="s">
        <v>385</v>
      </c>
      <c r="AG157" s="1323"/>
      <c r="AH157" s="1323" t="str">
        <f>IF($E$157=0,"",$E$157)</f>
        <v>Тариф на горячую воду (горячее водоснабжение)</v>
      </c>
      <c r="AI157" s="1323" t="str">
        <f>IF($G$157=0,"",$G$157)</f>
        <v/>
      </c>
      <c r="AJ157" s="1323" t="str">
        <f>IF($J$157=0,"",$J$157)</f>
        <v/>
      </c>
      <c r="AK157" s="1323" t="str">
        <f>IF($K$157="нет","без дифференциации",IF($N$157=0,"",$N$157))</f>
        <v/>
      </c>
      <c r="AL157" s="1323" t="str">
        <f>IF($O$157="нет","без дифференциации",IF($R$157=0,"",$R$157))</f>
        <v/>
      </c>
      <c r="AM157" s="1323" t="str">
        <f>IF($S$157="нет","без дифференциации",IF($V$157=0,"",$V$157))</f>
        <v/>
      </c>
      <c r="AN157" s="1323">
        <f>$I$157</f>
        <v>0</v>
      </c>
      <c r="AO157" s="1323" t="str">
        <f>$I$157&amp;"."&amp;$M$157</f>
        <v>.</v>
      </c>
      <c r="AP157" s="1323" t="str">
        <f>$I$157&amp;"."&amp;$M$157&amp;"."&amp;$Q$157</f>
        <v>..</v>
      </c>
      <c r="AQ157" s="1323" t="str">
        <f>$I$157&amp;"."&amp;$M$157&amp;"."&amp;$Q$157&amp;"."&amp;$U$157</f>
        <v>...</v>
      </c>
      <c r="AR157" s="1523">
        <v>0</v>
      </c>
    </row>
    <row s="2983" customFormat="1" customHeight="1" ht="17.25" hidden="1">
      <c r="A158" s="377"/>
      <c r="C158" s="376"/>
      <c r="D158" s="2191"/>
      <c r="E158" s="2199"/>
      <c r="F158" s="2202"/>
      <c r="G158" s="2199"/>
      <c r="H158" s="2205"/>
      <c r="I158" s="2207"/>
      <c r="J158" s="2209"/>
      <c r="K158" s="2194"/>
      <c r="L158" s="2194"/>
      <c r="M158" s="2194"/>
      <c r="N158" s="2196"/>
      <c r="O158" s="2194"/>
      <c r="P158" s="2194"/>
      <c r="Q158" s="2194"/>
      <c r="R158" s="2197"/>
      <c r="S158" s="2194"/>
      <c r="T158" s="1353"/>
      <c r="U158" s="1353"/>
      <c r="V158" s="1353"/>
      <c r="W158" s="1354"/>
      <c r="Y158" s="1315"/>
      <c r="Z158" s="1315"/>
      <c r="AA158" s="1315"/>
      <c r="AB158" s="1315"/>
      <c r="AC158" s="1315"/>
      <c r="AD158" s="1315"/>
      <c r="AE158" s="1315"/>
      <c r="AF158" s="1315"/>
      <c r="AG158" s="1315"/>
      <c r="AH158" s="1315"/>
      <c r="AI158" s="1315"/>
      <c r="AJ158" s="1315"/>
      <c r="AK158" s="1315"/>
      <c r="AL158" s="1315"/>
      <c r="AM158" s="1315"/>
      <c r="AN158" s="1315"/>
      <c r="AO158" s="1315"/>
      <c r="AP158" s="1315"/>
      <c r="AQ158" s="1315"/>
      <c r="AR158" s="1523">
        <v>0</v>
      </c>
    </row>
    <row s="2983" customFormat="1" customHeight="1" ht="17.25" hidden="1">
      <c r="A159" s="377"/>
      <c r="C159" s="265"/>
      <c r="D159" s="2191"/>
      <c r="E159" s="2199"/>
      <c r="F159" s="2202"/>
      <c r="G159" s="2199"/>
      <c r="H159" s="2205"/>
      <c r="I159" s="2207"/>
      <c r="J159" s="2210"/>
      <c r="K159" s="2194"/>
      <c r="L159" s="2194"/>
      <c r="M159" s="2194"/>
      <c r="N159" s="2197"/>
      <c r="O159" s="2194"/>
      <c r="P159" s="1527"/>
      <c r="Q159" s="1353"/>
      <c r="R159" s="1353"/>
      <c r="S159" s="385"/>
      <c r="T159" s="385"/>
      <c r="U159" s="385"/>
      <c r="V159" s="385"/>
      <c r="W159" s="1354"/>
      <c r="Y159" s="1323"/>
      <c r="Z159" s="1323"/>
      <c r="AA159" s="1323"/>
      <c r="AB159" s="1323"/>
      <c r="AC159" s="1323"/>
      <c r="AD159" s="1323"/>
      <c r="AE159" s="1323"/>
      <c r="AF159" s="1323"/>
      <c r="AG159" s="1323"/>
      <c r="AH159" s="1323"/>
      <c r="AI159" s="1323"/>
      <c r="AJ159" s="1323"/>
      <c r="AK159" s="1323"/>
      <c r="AL159" s="1323"/>
      <c r="AM159" s="1323"/>
      <c r="AN159" s="1323"/>
      <c r="AO159" s="1323"/>
      <c r="AP159" s="1323"/>
      <c r="AQ159" s="1323"/>
      <c r="AR159" s="1523">
        <v>0</v>
      </c>
    </row>
    <row s="2983" customFormat="1" customHeight="1" ht="17.25" hidden="1">
      <c r="A160" s="377"/>
      <c r="C160" s="376"/>
      <c r="D160" s="2191"/>
      <c r="E160" s="2199"/>
      <c r="F160" s="2202"/>
      <c r="G160" s="2199"/>
      <c r="H160" s="2205"/>
      <c r="I160" s="2207"/>
      <c r="J160" s="2210"/>
      <c r="K160" s="2194"/>
      <c r="L160" s="1353"/>
      <c r="M160" s="1353"/>
      <c r="N160" s="1353"/>
      <c r="O160" s="1353"/>
      <c r="P160" s="1353"/>
      <c r="Q160" s="1353"/>
      <c r="R160" s="1353"/>
      <c r="S160" s="385"/>
      <c r="T160" s="385"/>
      <c r="U160" s="385"/>
      <c r="V160" s="385"/>
      <c r="W160" s="1354"/>
      <c r="Y160" s="1315"/>
      <c r="Z160" s="1315"/>
      <c r="AA160" s="1315"/>
      <c r="AB160" s="1315"/>
      <c r="AC160" s="1315"/>
      <c r="AD160" s="1315"/>
      <c r="AE160" s="1315"/>
      <c r="AF160" s="1315"/>
      <c r="AG160" s="1315"/>
      <c r="AH160" s="1315"/>
      <c r="AI160" s="1315"/>
      <c r="AJ160" s="1315"/>
      <c r="AK160" s="1315"/>
      <c r="AL160" s="1315"/>
      <c r="AM160" s="1315"/>
      <c r="AN160" s="1315"/>
      <c r="AO160" s="1315"/>
      <c r="AP160" s="1315"/>
      <c r="AQ160" s="1315"/>
      <c r="AR160" s="1523">
        <v>0</v>
      </c>
    </row>
    <row s="2983" customFormat="1" customHeight="1" ht="17.25" hidden="1">
      <c r="A161" s="377"/>
      <c r="C161" s="376"/>
      <c r="D161" s="2192"/>
      <c r="E161" s="2200"/>
      <c r="F161" s="2203"/>
      <c r="G161" s="2200"/>
      <c r="H161" s="1355"/>
      <c r="I161" s="1356"/>
      <c r="J161" s="1356"/>
      <c r="K161" s="1356"/>
      <c r="L161" s="1356"/>
      <c r="M161" s="1356"/>
      <c r="N161" s="1356"/>
      <c r="O161" s="1356"/>
      <c r="P161" s="1356"/>
      <c r="Q161" s="1356"/>
      <c r="R161" s="1356"/>
      <c r="S161" s="1357"/>
      <c r="T161" s="1357"/>
      <c r="U161" s="1357"/>
      <c r="V161" s="1357"/>
      <c r="W161" s="1358"/>
      <c r="Y161" s="1315"/>
      <c r="Z161" s="1315"/>
      <c r="AA161" s="1315"/>
      <c r="AB161" s="1315"/>
      <c r="AC161" s="1315"/>
      <c r="AD161" s="1315"/>
      <c r="AE161" s="1315"/>
      <c r="AF161" s="1315"/>
      <c r="AG161" s="1315"/>
      <c r="AH161" s="1315"/>
      <c r="AI161" s="1315"/>
      <c r="AJ161" s="1315"/>
      <c r="AK161" s="1315"/>
      <c r="AL161" s="1315"/>
      <c r="AM161" s="1315"/>
      <c r="AN161" s="1315"/>
      <c r="AO161" s="1315"/>
      <c r="AP161" s="1315"/>
      <c r="AQ161" s="1315"/>
      <c r="AR161" s="1523">
        <v>0</v>
      </c>
    </row>
    <row s="2983" customFormat="1" customHeight="1" ht="17.25" hidden="1">
      <c r="A162" s="377"/>
      <c r="C162" s="265"/>
      <c r="D162" s="2191">
        <v>2</v>
      </c>
      <c r="E162" s="2199" t="s">
        <v>386</v>
      </c>
      <c r="F162" s="2201" t="s">
        <v>19</v>
      </c>
      <c r="G162" s="2199"/>
      <c r="H162" s="2204"/>
      <c r="I162" s="2206"/>
      <c r="J162" s="2208"/>
      <c r="K162" s="2193"/>
      <c r="L162" s="2193"/>
      <c r="M162" s="2193"/>
      <c r="N162" s="2195"/>
      <c r="O162" s="2193"/>
      <c r="P162" s="2193"/>
      <c r="Q162" s="2193"/>
      <c r="R162" s="2198"/>
      <c r="S162" s="2193"/>
      <c r="T162" s="1526"/>
      <c r="U162" s="1526"/>
      <c r="V162" s="1528"/>
      <c r="W162" s="1352"/>
      <c r="X162" s="1323"/>
      <c r="Y162" s="1323"/>
      <c r="Z162" s="1323"/>
      <c r="AA162" s="1323"/>
      <c r="AB162" s="1323"/>
      <c r="AC162" s="1323" t="s">
        <v>387</v>
      </c>
      <c r="AD162" s="1323" t="s">
        <v>388</v>
      </c>
      <c r="AE162" s="1323" t="s">
        <v>389</v>
      </c>
      <c r="AF162" s="1323" t="s">
        <v>390</v>
      </c>
      <c r="AG162" s="1323"/>
      <c r="AH162" s="1323" t="str">
        <f>IF($E$162=0,"",$E$162)</f>
        <v>Тариф на транспортировку горячей воды</v>
      </c>
      <c r="AI162" s="1323" t="str">
        <f>IF($G$162=0,"",$G$162)</f>
        <v/>
      </c>
      <c r="AJ162" s="1323" t="str">
        <f>IF($J$162=0,"",$J$162)</f>
        <v/>
      </c>
      <c r="AK162" s="1323" t="str">
        <f>IF($K$162="нет","без дифференциации",IF($N$162=0,"",$N$162))</f>
        <v/>
      </c>
      <c r="AL162" s="1323" t="str">
        <f>IF($O$162="нет","без дифференциации",IF($R$162=0,"",$R$162))</f>
        <v/>
      </c>
      <c r="AM162" s="1323" t="str">
        <f>IF($S$162="нет","без дифференциации",IF($V$162=0,"",$V$162))</f>
        <v/>
      </c>
      <c r="AN162" s="1828">
        <f>$I$162</f>
        <v>0</v>
      </c>
      <c r="AO162" s="1323" t="str">
        <f>$I$162&amp;"."&amp;$M$162</f>
        <v>.</v>
      </c>
      <c r="AP162" s="1315" t="str">
        <f>$I$162&amp;"."&amp;$M$162&amp;"."&amp;$Q$162</f>
        <v>..</v>
      </c>
      <c r="AQ162" s="1315" t="str">
        <f>$I$162&amp;"."&amp;$M$162&amp;"."&amp;$Q$162&amp;"."&amp;$U$162</f>
        <v>...</v>
      </c>
      <c r="AR162" s="1523">
        <v>0</v>
      </c>
    </row>
    <row s="2983" customFormat="1" customHeight="1" ht="17.25" hidden="1">
      <c r="A163" s="377"/>
      <c r="C163" s="376"/>
      <c r="D163" s="2191"/>
      <c r="E163" s="2199"/>
      <c r="F163" s="2202"/>
      <c r="G163" s="2199"/>
      <c r="H163" s="2205"/>
      <c r="I163" s="2207"/>
      <c r="J163" s="2209"/>
      <c r="K163" s="2194"/>
      <c r="L163" s="2194"/>
      <c r="M163" s="2194"/>
      <c r="N163" s="2196"/>
      <c r="O163" s="2194"/>
      <c r="P163" s="2194"/>
      <c r="Q163" s="2194"/>
      <c r="R163" s="2197"/>
      <c r="S163" s="2194"/>
      <c r="T163" s="1353"/>
      <c r="U163" s="1353"/>
      <c r="V163" s="1353"/>
      <c r="W163" s="1354"/>
      <c r="X163" s="1315"/>
      <c r="Y163" s="1315"/>
      <c r="Z163" s="1315"/>
      <c r="AA163" s="1315"/>
      <c r="AB163" s="1315"/>
      <c r="AC163" s="1315"/>
      <c r="AD163" s="1315"/>
      <c r="AE163" s="1315"/>
      <c r="AF163" s="1315"/>
      <c r="AG163" s="1315"/>
      <c r="AH163" s="1315"/>
      <c r="AI163" s="1315"/>
      <c r="AJ163" s="1315"/>
      <c r="AK163" s="1315"/>
      <c r="AL163" s="1315"/>
      <c r="AM163" s="1315"/>
      <c r="AN163" s="1315"/>
      <c r="AO163" s="1315"/>
      <c r="AP163" s="1315"/>
      <c r="AQ163" s="1315"/>
      <c r="AR163" s="1523">
        <v>0</v>
      </c>
    </row>
    <row s="2983" customFormat="1" customHeight="1" ht="17.25" hidden="1">
      <c r="A164" s="377"/>
      <c r="C164" s="376"/>
      <c r="D164" s="2192"/>
      <c r="E164" s="2200"/>
      <c r="F164" s="2202"/>
      <c r="G164" s="2200"/>
      <c r="H164" s="2205"/>
      <c r="I164" s="2207"/>
      <c r="J164" s="2210"/>
      <c r="K164" s="2194"/>
      <c r="L164" s="2194"/>
      <c r="M164" s="2194"/>
      <c r="N164" s="2197"/>
      <c r="O164" s="2194"/>
      <c r="P164" s="1527"/>
      <c r="Q164" s="1353"/>
      <c r="R164" s="1353"/>
      <c r="S164" s="385"/>
      <c r="T164" s="385"/>
      <c r="U164" s="385"/>
      <c r="V164" s="385"/>
      <c r="W164" s="1354"/>
      <c r="X164" s="1315"/>
      <c r="Y164" s="1315"/>
      <c r="Z164" s="1315"/>
      <c r="AA164" s="1315"/>
      <c r="AB164" s="1315"/>
      <c r="AC164" s="1315"/>
      <c r="AD164" s="1315"/>
      <c r="AE164" s="1315"/>
      <c r="AF164" s="1315"/>
      <c r="AG164" s="1315"/>
      <c r="AH164" s="1315"/>
      <c r="AI164" s="1315"/>
      <c r="AJ164" s="1315"/>
      <c r="AK164" s="1315"/>
      <c r="AL164" s="1315"/>
      <c r="AM164" s="1315"/>
      <c r="AN164" s="1315"/>
      <c r="AO164" s="1315"/>
      <c r="AP164" s="1315"/>
      <c r="AQ164" s="1315"/>
      <c r="AR164" s="1523">
        <v>0</v>
      </c>
    </row>
    <row s="2983" customFormat="1" customHeight="1" ht="17.25" hidden="1">
      <c r="A165" s="377"/>
      <c r="C165" s="376"/>
      <c r="D165" s="2192"/>
      <c r="E165" s="2200"/>
      <c r="F165" s="2202"/>
      <c r="G165" s="2200"/>
      <c r="H165" s="2205"/>
      <c r="I165" s="2207"/>
      <c r="J165" s="2210"/>
      <c r="K165" s="2194"/>
      <c r="L165" s="1353"/>
      <c r="M165" s="1353"/>
      <c r="N165" s="1353"/>
      <c r="O165" s="1353"/>
      <c r="P165" s="1353"/>
      <c r="Q165" s="1353"/>
      <c r="R165" s="1353"/>
      <c r="S165" s="385"/>
      <c r="T165" s="385"/>
      <c r="U165" s="385"/>
      <c r="V165" s="385"/>
      <c r="W165" s="1354"/>
      <c r="X165" s="1315"/>
      <c r="Y165" s="1315"/>
      <c r="Z165" s="1315"/>
      <c r="AA165" s="1315"/>
      <c r="AB165" s="1315"/>
      <c r="AC165" s="1315"/>
      <c r="AD165" s="1315"/>
      <c r="AE165" s="1315"/>
      <c r="AF165" s="1315"/>
      <c r="AG165" s="1315"/>
      <c r="AH165" s="1315"/>
      <c r="AI165" s="1315"/>
      <c r="AJ165" s="1315"/>
      <c r="AK165" s="1315"/>
      <c r="AL165" s="1315"/>
      <c r="AM165" s="1315"/>
      <c r="AN165" s="1315"/>
      <c r="AO165" s="1315"/>
      <c r="AP165" s="1315"/>
      <c r="AQ165" s="1315"/>
      <c r="AR165" s="1523">
        <v>0</v>
      </c>
    </row>
    <row s="2983" customFormat="1" customHeight="1" ht="17.25" hidden="1">
      <c r="A166" s="377"/>
      <c r="C166" s="376"/>
      <c r="D166" s="2192"/>
      <c r="E166" s="2200"/>
      <c r="F166" s="2203"/>
      <c r="G166" s="2200"/>
      <c r="H166" s="1355"/>
      <c r="I166" s="1356"/>
      <c r="J166" s="1356"/>
      <c r="K166" s="1356"/>
      <c r="L166" s="1356"/>
      <c r="M166" s="1356"/>
      <c r="N166" s="1356"/>
      <c r="O166" s="1356"/>
      <c r="P166" s="1356"/>
      <c r="Q166" s="1356"/>
      <c r="R166" s="1356"/>
      <c r="S166" s="1357"/>
      <c r="T166" s="1357"/>
      <c r="U166" s="1357"/>
      <c r="V166" s="1357"/>
      <c r="W166" s="1358"/>
      <c r="X166" s="1315"/>
      <c r="Y166" s="1315"/>
      <c r="Z166" s="1315"/>
      <c r="AA166" s="1315"/>
      <c r="AB166" s="1315"/>
      <c r="AC166" s="1315"/>
      <c r="AD166" s="1315"/>
      <c r="AE166" s="1315"/>
      <c r="AF166" s="1315"/>
      <c r="AG166" s="1315"/>
      <c r="AH166" s="1315"/>
      <c r="AI166" s="1315"/>
      <c r="AJ166" s="1315"/>
      <c r="AK166" s="1315"/>
      <c r="AL166" s="1315"/>
      <c r="AM166" s="1315"/>
      <c r="AN166" s="1315"/>
      <c r="AO166" s="1315"/>
      <c r="AP166" s="1315"/>
      <c r="AQ166" s="1315"/>
      <c r="AR166" s="1523">
        <v>0</v>
      </c>
    </row>
    <row s="2983" customFormat="1" customHeight="1" ht="17.25" hidden="1">
      <c r="A167" s="377"/>
      <c r="C167" s="265"/>
      <c r="D167" s="2191">
        <v>3</v>
      </c>
      <c r="E167" s="2199" t="s">
        <v>391</v>
      </c>
      <c r="F167" s="2201" t="s">
        <v>19</v>
      </c>
      <c r="G167" s="2199"/>
      <c r="H167" s="2204"/>
      <c r="I167" s="2206"/>
      <c r="J167" s="2208"/>
      <c r="K167" s="2193"/>
      <c r="L167" s="2193"/>
      <c r="M167" s="2193"/>
      <c r="N167" s="2195"/>
      <c r="O167" s="2193"/>
      <c r="P167" s="2193"/>
      <c r="Q167" s="2193"/>
      <c r="R167" s="2198"/>
      <c r="S167" s="2193"/>
      <c r="T167" s="1999"/>
      <c r="U167" s="1999"/>
      <c r="V167" s="2001"/>
      <c r="W167" s="1352"/>
      <c r="X167" s="1323"/>
      <c r="Y167" s="1323"/>
      <c r="Z167" s="1323"/>
      <c r="AA167" s="1323"/>
      <c r="AB167" s="1323"/>
      <c r="AC167" s="1323" t="s">
        <v>392</v>
      </c>
      <c r="AD167" s="1323" t="s">
        <v>393</v>
      </c>
      <c r="AE167" s="1323" t="s">
        <v>394</v>
      </c>
      <c r="AF167" s="1323" t="s">
        <v>395</v>
      </c>
      <c r="AG167" s="1323"/>
      <c r="AH167" s="1323" t="str">
        <f>IF($E$167=0,"",$E$167)</f>
        <v>Тариф на подключение (технологическое присоединение) к централизованной системе горячего водоснабжения</v>
      </c>
      <c r="AI167" s="1323" t="str">
        <f>IF($G$167=0,"",$G$167)</f>
        <v/>
      </c>
      <c r="AJ167" s="1323" t="str">
        <f>IF($J$167=0,"",$J$167)</f>
        <v/>
      </c>
      <c r="AK167" s="1323" t="str">
        <f>IF($K$167="нет","без дифференциации",IF($N$167=0,"",$N$167))</f>
        <v/>
      </c>
      <c r="AL167" s="1323" t="str">
        <f>IF($O$167="нет","без дифференциации",IF($R$167=0,"",$R$167))</f>
        <v/>
      </c>
      <c r="AM167" s="1323" t="str">
        <f>IF($S$167="нет","без дифференциации",IF($V$167=0,"",$V$167))</f>
        <v/>
      </c>
      <c r="AN167" s="1828">
        <f>$I$167</f>
        <v>0</v>
      </c>
      <c r="AO167" s="1323" t="str">
        <f>$I$167&amp;"."&amp;$M$167</f>
        <v>.</v>
      </c>
      <c r="AP167" s="1322" t="str">
        <f>$I$167&amp;"."&amp;$M$167&amp;"."&amp;$Q$167</f>
        <v>..</v>
      </c>
      <c r="AQ167" s="1322" t="str">
        <f>$I$167&amp;"."&amp;$M$167&amp;"."&amp;$Q$167&amp;"."&amp;$U$167</f>
        <v>...</v>
      </c>
      <c r="AR167" s="1523">
        <v>0</v>
      </c>
    </row>
    <row s="2983" customFormat="1" customHeight="1" ht="17.25" hidden="1">
      <c r="A168" s="377"/>
      <c r="C168" s="376"/>
      <c r="D168" s="2191"/>
      <c r="E168" s="2199"/>
      <c r="F168" s="2202"/>
      <c r="G168" s="2199"/>
      <c r="H168" s="2205"/>
      <c r="I168" s="2207"/>
      <c r="J168" s="2209"/>
      <c r="K168" s="2194"/>
      <c r="L168" s="2194"/>
      <c r="M168" s="2194"/>
      <c r="N168" s="2196"/>
      <c r="O168" s="2194"/>
      <c r="P168" s="2194"/>
      <c r="Q168" s="2194"/>
      <c r="R168" s="2197"/>
      <c r="S168" s="2194"/>
      <c r="T168" s="2004"/>
      <c r="U168" s="2004"/>
      <c r="V168" s="2004"/>
      <c r="W168" s="2005"/>
      <c r="X168" s="1322"/>
      <c r="Y168" s="1322"/>
      <c r="Z168" s="1322"/>
      <c r="AA168" s="1322"/>
      <c r="AB168" s="1322"/>
      <c r="AC168" s="1322"/>
      <c r="AD168" s="1322"/>
      <c r="AE168" s="1322"/>
      <c r="AF168" s="1322"/>
      <c r="AG168" s="1322"/>
      <c r="AH168" s="1322"/>
      <c r="AI168" s="1322"/>
      <c r="AJ168" s="1322"/>
      <c r="AK168" s="1322"/>
      <c r="AL168" s="1322"/>
      <c r="AM168" s="1322"/>
      <c r="AN168" s="1322"/>
      <c r="AO168" s="1322"/>
      <c r="AP168" s="1322"/>
      <c r="AQ168" s="1322"/>
      <c r="AR168" s="1523">
        <v>0</v>
      </c>
    </row>
    <row s="2983" customFormat="1" customHeight="1" ht="17.25" hidden="1">
      <c r="A169" s="377"/>
      <c r="C169" s="376"/>
      <c r="D169" s="2192"/>
      <c r="E169" s="2200"/>
      <c r="F169" s="2202"/>
      <c r="G169" s="2200"/>
      <c r="H169" s="2205"/>
      <c r="I169" s="2207"/>
      <c r="J169" s="2210"/>
      <c r="K169" s="2194"/>
      <c r="L169" s="2194"/>
      <c r="M169" s="2194"/>
      <c r="N169" s="2197"/>
      <c r="O169" s="2194"/>
      <c r="P169" s="2000"/>
      <c r="Q169" s="2004"/>
      <c r="R169" s="2004"/>
      <c r="S169" s="385"/>
      <c r="T169" s="385"/>
      <c r="U169" s="385"/>
      <c r="V169" s="385"/>
      <c r="W169" s="2005"/>
      <c r="X169" s="1322"/>
      <c r="Y169" s="1322"/>
      <c r="Z169" s="1322"/>
      <c r="AA169" s="1322"/>
      <c r="AB169" s="1322"/>
      <c r="AC169" s="1322"/>
      <c r="AD169" s="1322"/>
      <c r="AE169" s="1322"/>
      <c r="AF169" s="1322"/>
      <c r="AG169" s="1322"/>
      <c r="AH169" s="1322"/>
      <c r="AI169" s="1322"/>
      <c r="AJ169" s="1322"/>
      <c r="AK169" s="1322"/>
      <c r="AL169" s="1322"/>
      <c r="AM169" s="1322"/>
      <c r="AN169" s="1322"/>
      <c r="AO169" s="1322"/>
      <c r="AP169" s="1322"/>
      <c r="AQ169" s="1322"/>
      <c r="AR169" s="1523">
        <v>0</v>
      </c>
    </row>
    <row s="2983" customFormat="1" customHeight="1" ht="17.25" hidden="1">
      <c r="A170" s="377"/>
      <c r="C170" s="376"/>
      <c r="D170" s="2192"/>
      <c r="E170" s="2200"/>
      <c r="F170" s="2202"/>
      <c r="G170" s="2200"/>
      <c r="H170" s="2205"/>
      <c r="I170" s="2207"/>
      <c r="J170" s="2210"/>
      <c r="K170" s="2194"/>
      <c r="L170" s="2004"/>
      <c r="M170" s="2004"/>
      <c r="N170" s="2004"/>
      <c r="O170" s="2004"/>
      <c r="P170" s="2004"/>
      <c r="Q170" s="2004"/>
      <c r="R170" s="2004"/>
      <c r="S170" s="385"/>
      <c r="T170" s="385"/>
      <c r="U170" s="385"/>
      <c r="V170" s="385"/>
      <c r="W170" s="2005"/>
      <c r="X170" s="1322"/>
      <c r="Y170" s="1322"/>
      <c r="Z170" s="1322"/>
      <c r="AA170" s="1322"/>
      <c r="AB170" s="1322"/>
      <c r="AC170" s="1322"/>
      <c r="AD170" s="1322"/>
      <c r="AE170" s="1322"/>
      <c r="AF170" s="1322"/>
      <c r="AG170" s="1322"/>
      <c r="AH170" s="1322"/>
      <c r="AI170" s="1322"/>
      <c r="AJ170" s="1322"/>
      <c r="AK170" s="1322"/>
      <c r="AL170" s="1322"/>
      <c r="AM170" s="1322"/>
      <c r="AN170" s="1322"/>
      <c r="AO170" s="1322"/>
      <c r="AP170" s="1322"/>
      <c r="AQ170" s="1322"/>
      <c r="AR170" s="1523">
        <v>0</v>
      </c>
    </row>
    <row s="2983" customFormat="1" customHeight="1" ht="17.25" hidden="1">
      <c r="A171" s="377"/>
      <c r="C171" s="376"/>
      <c r="D171" s="2192"/>
      <c r="E171" s="2200"/>
      <c r="F171" s="2203"/>
      <c r="G171" s="2200"/>
      <c r="H171" s="1355"/>
      <c r="I171" s="2002"/>
      <c r="J171" s="2002"/>
      <c r="K171" s="2002"/>
      <c r="L171" s="2002"/>
      <c r="M171" s="2002"/>
      <c r="N171" s="2002"/>
      <c r="O171" s="2002"/>
      <c r="P171" s="2002"/>
      <c r="Q171" s="2002"/>
      <c r="R171" s="2002"/>
      <c r="S171" s="1357"/>
      <c r="T171" s="1357"/>
      <c r="U171" s="1357"/>
      <c r="V171" s="1357"/>
      <c r="W171" s="2003"/>
      <c r="X171" s="1322"/>
      <c r="Y171" s="1322"/>
      <c r="Z171" s="1322"/>
      <c r="AA171" s="1322"/>
      <c r="AB171" s="1322"/>
      <c r="AC171" s="1322"/>
      <c r="AD171" s="1322"/>
      <c r="AE171" s="1322"/>
      <c r="AF171" s="1322"/>
      <c r="AG171" s="1322"/>
      <c r="AH171" s="1322"/>
      <c r="AI171" s="1322"/>
      <c r="AJ171" s="1322"/>
      <c r="AK171" s="1322"/>
      <c r="AL171" s="1322"/>
      <c r="AM171" s="1322"/>
      <c r="AN171" s="1322"/>
      <c r="AO171" s="1322"/>
      <c r="AP171" s="1322"/>
      <c r="AQ171" s="1322"/>
      <c r="AR171" s="1523">
        <v>0</v>
      </c>
    </row>
    <row s="2983" customFormat="1" customHeight="1" ht="11.25" hidden="1">
      <c r="A172" s="333"/>
      <c r="B172" s="333"/>
      <c r="Y172" s="1315"/>
      <c r="Z172" s="1315"/>
      <c r="AA172" s="1315"/>
      <c r="AB172" s="1315"/>
      <c r="AC172" s="1315"/>
      <c r="AD172" s="1315"/>
      <c r="AE172" s="1315"/>
      <c r="AF172" s="1315"/>
      <c r="AG172" s="1315"/>
      <c r="AH172" s="1315"/>
      <c r="AI172" s="1315"/>
      <c r="AJ172" s="1315"/>
      <c r="AK172" s="1315"/>
      <c r="AL172" s="1315"/>
      <c r="AM172" s="1315"/>
      <c r="AN172" s="1315"/>
      <c r="AO172" s="1315"/>
      <c r="AP172" s="1315"/>
      <c r="AQ172" s="1315"/>
      <c r="AR172" s="1523">
        <v>0</v>
      </c>
    </row>
    <row s="2983" customFormat="1" customHeight="1" ht="17.25" hidden="1">
      <c r="A173" s="377"/>
      <c r="C173" s="265"/>
      <c r="D173" s="2191">
        <v>1</v>
      </c>
      <c r="E173" s="2199" t="s">
        <v>396</v>
      </c>
      <c r="F173" s="2201" t="s">
        <v>19</v>
      </c>
      <c r="G173" s="2199"/>
      <c r="H173" s="2204"/>
      <c r="I173" s="2206"/>
      <c r="J173" s="2208"/>
      <c r="K173" s="2193"/>
      <c r="L173" s="2193"/>
      <c r="M173" s="2193"/>
      <c r="N173" s="2195"/>
      <c r="O173" s="2193"/>
      <c r="P173" s="2193"/>
      <c r="Q173" s="2193"/>
      <c r="R173" s="2198"/>
      <c r="S173" s="2193"/>
      <c r="T173" s="1526"/>
      <c r="U173" s="1526"/>
      <c r="V173" s="1528"/>
      <c r="W173" s="1352"/>
      <c r="Y173" s="1323"/>
      <c r="Z173" s="1323"/>
      <c r="AA173" s="1323"/>
      <c r="AB173" s="1323"/>
      <c r="AC173" s="1323" t="s">
        <v>397</v>
      </c>
      <c r="AD173" s="1323" t="s">
        <v>398</v>
      </c>
      <c r="AE173" s="1323" t="s">
        <v>399</v>
      </c>
      <c r="AF173" s="1323" t="s">
        <v>400</v>
      </c>
      <c r="AG173" s="1323"/>
      <c r="AH173" s="1323" t="str">
        <f>IF($E$173=0,"",$E$173)</f>
        <v>Тариф на водоотведение</v>
      </c>
      <c r="AI173" s="1323" t="str">
        <f>IF($G$173=0,"",$G$173)</f>
        <v/>
      </c>
      <c r="AJ173" s="1323" t="str">
        <f>IF($J$173=0,"",$J$173)</f>
        <v/>
      </c>
      <c r="AK173" s="1323" t="str">
        <f>IF($K$173="нет","без дифференциации",IF($N$173=0,"",$N$173))</f>
        <v/>
      </c>
      <c r="AL173" s="1323" t="str">
        <f>IF($O$173="нет","без дифференциации",IF($R$173=0,"",$R$173))</f>
        <v/>
      </c>
      <c r="AM173" s="1323" t="str">
        <f>IF($S$173="нет","без дифференциации",IF($V$173=0,"",$V$173))</f>
        <v/>
      </c>
      <c r="AN173" s="1323">
        <f>$I$173</f>
        <v>0</v>
      </c>
      <c r="AO173" s="1323" t="str">
        <f>$I$173&amp;"."&amp;$M$173</f>
        <v>.</v>
      </c>
      <c r="AP173" s="1323" t="str">
        <f>$I$173&amp;"."&amp;$M$173&amp;"."&amp;$Q$173</f>
        <v>..</v>
      </c>
      <c r="AQ173" s="1323" t="str">
        <f>$I$173&amp;"."&amp;$M$173&amp;"."&amp;$Q$173&amp;"."&amp;$U$173</f>
        <v>...</v>
      </c>
      <c r="AR173" s="1523">
        <v>0</v>
      </c>
    </row>
    <row s="2983" customFormat="1" customHeight="1" ht="17.25" hidden="1">
      <c r="A174" s="377"/>
      <c r="C174" s="376"/>
      <c r="D174" s="2191"/>
      <c r="E174" s="2199"/>
      <c r="F174" s="2202"/>
      <c r="G174" s="2199"/>
      <c r="H174" s="2205"/>
      <c r="I174" s="2207"/>
      <c r="J174" s="2209"/>
      <c r="K174" s="2194"/>
      <c r="L174" s="2194"/>
      <c r="M174" s="2194"/>
      <c r="N174" s="2196"/>
      <c r="O174" s="2194"/>
      <c r="P174" s="2194"/>
      <c r="Q174" s="2194"/>
      <c r="R174" s="2197"/>
      <c r="S174" s="2194"/>
      <c r="T174" s="1353"/>
      <c r="U174" s="1353"/>
      <c r="V174" s="1353"/>
      <c r="W174" s="1354"/>
      <c r="Y174" s="1315"/>
      <c r="Z174" s="1315"/>
      <c r="AA174" s="1315"/>
      <c r="AB174" s="1315"/>
      <c r="AC174" s="1315"/>
      <c r="AD174" s="1315"/>
      <c r="AE174" s="1315"/>
      <c r="AF174" s="1315"/>
      <c r="AG174" s="1315"/>
      <c r="AH174" s="1315"/>
      <c r="AI174" s="1315"/>
      <c r="AJ174" s="1315"/>
      <c r="AK174" s="1315"/>
      <c r="AL174" s="1315"/>
      <c r="AM174" s="1315"/>
      <c r="AN174" s="1315"/>
      <c r="AO174" s="1315"/>
      <c r="AP174" s="1315"/>
      <c r="AQ174" s="1315"/>
      <c r="AR174" s="1523">
        <v>0</v>
      </c>
    </row>
    <row s="2983" customFormat="1" customHeight="1" ht="17.25" hidden="1">
      <c r="A175" s="377"/>
      <c r="C175" s="265"/>
      <c r="D175" s="2191"/>
      <c r="E175" s="2199"/>
      <c r="F175" s="2202"/>
      <c r="G175" s="2199"/>
      <c r="H175" s="2205"/>
      <c r="I175" s="2207"/>
      <c r="J175" s="2210"/>
      <c r="K175" s="2194"/>
      <c r="L175" s="2194"/>
      <c r="M175" s="2194"/>
      <c r="N175" s="2197"/>
      <c r="O175" s="2194"/>
      <c r="P175" s="1527"/>
      <c r="Q175" s="1353"/>
      <c r="R175" s="1353"/>
      <c r="S175" s="385"/>
      <c r="T175" s="385"/>
      <c r="U175" s="385"/>
      <c r="V175" s="385"/>
      <c r="W175" s="1354"/>
      <c r="Y175" s="1323"/>
      <c r="Z175" s="1323"/>
      <c r="AA175" s="1323"/>
      <c r="AB175" s="1323"/>
      <c r="AC175" s="1323"/>
      <c r="AD175" s="1323"/>
      <c r="AE175" s="1323"/>
      <c r="AF175" s="1323"/>
      <c r="AG175" s="1323"/>
      <c r="AH175" s="1323"/>
      <c r="AI175" s="1323"/>
      <c r="AJ175" s="1323"/>
      <c r="AK175" s="1323"/>
      <c r="AL175" s="1323"/>
      <c r="AM175" s="1323"/>
      <c r="AN175" s="1323"/>
      <c r="AO175" s="1323"/>
      <c r="AP175" s="1323"/>
      <c r="AQ175" s="1323"/>
      <c r="AR175" s="1523">
        <v>0</v>
      </c>
    </row>
    <row s="2983" customFormat="1" customHeight="1" ht="17.25" hidden="1">
      <c r="A176" s="377"/>
      <c r="C176" s="376"/>
      <c r="D176" s="2191"/>
      <c r="E176" s="2199"/>
      <c r="F176" s="2202"/>
      <c r="G176" s="2199"/>
      <c r="H176" s="2205"/>
      <c r="I176" s="2207"/>
      <c r="J176" s="2210"/>
      <c r="K176" s="2194"/>
      <c r="L176" s="1353"/>
      <c r="M176" s="1353"/>
      <c r="N176" s="1353"/>
      <c r="O176" s="1353"/>
      <c r="P176" s="1353"/>
      <c r="Q176" s="1353"/>
      <c r="R176" s="1353"/>
      <c r="S176" s="385"/>
      <c r="T176" s="385"/>
      <c r="U176" s="385"/>
      <c r="V176" s="385"/>
      <c r="W176" s="1354"/>
      <c r="Y176" s="1315"/>
      <c r="Z176" s="1315"/>
      <c r="AA176" s="1315"/>
      <c r="AB176" s="1315"/>
      <c r="AC176" s="1315"/>
      <c r="AD176" s="1315"/>
      <c r="AE176" s="1315"/>
      <c r="AF176" s="1315"/>
      <c r="AG176" s="1315"/>
      <c r="AH176" s="1315"/>
      <c r="AI176" s="1315"/>
      <c r="AJ176" s="1315"/>
      <c r="AK176" s="1315"/>
      <c r="AL176" s="1315"/>
      <c r="AM176" s="1315"/>
      <c r="AN176" s="1315"/>
      <c r="AO176" s="1315"/>
      <c r="AP176" s="1315"/>
      <c r="AQ176" s="1315"/>
      <c r="AR176" s="1523">
        <v>0</v>
      </c>
    </row>
    <row s="2983" customFormat="1" customHeight="1" ht="17.25" hidden="1">
      <c r="A177" s="377"/>
      <c r="C177" s="376"/>
      <c r="D177" s="2192"/>
      <c r="E177" s="2200"/>
      <c r="F177" s="2203"/>
      <c r="G177" s="2200"/>
      <c r="H177" s="1355"/>
      <c r="I177" s="1356"/>
      <c r="J177" s="1356"/>
      <c r="K177" s="1356"/>
      <c r="L177" s="1356"/>
      <c r="M177" s="1356"/>
      <c r="N177" s="1356"/>
      <c r="O177" s="1356"/>
      <c r="P177" s="1356"/>
      <c r="Q177" s="1356"/>
      <c r="R177" s="1356"/>
      <c r="S177" s="1357"/>
      <c r="T177" s="1357"/>
      <c r="U177" s="1357"/>
      <c r="V177" s="1357"/>
      <c r="W177" s="1358"/>
      <c r="Y177" s="1315"/>
      <c r="Z177" s="1315"/>
      <c r="AA177" s="1315"/>
      <c r="AB177" s="1315"/>
      <c r="AC177" s="1315"/>
      <c r="AD177" s="1315"/>
      <c r="AE177" s="1315"/>
      <c r="AF177" s="1315"/>
      <c r="AG177" s="1315"/>
      <c r="AH177" s="1315"/>
      <c r="AI177" s="1315"/>
      <c r="AJ177" s="1315"/>
      <c r="AK177" s="1315"/>
      <c r="AL177" s="1315"/>
      <c r="AM177" s="1315"/>
      <c r="AN177" s="1315"/>
      <c r="AO177" s="1315"/>
      <c r="AP177" s="1315"/>
      <c r="AQ177" s="1315"/>
      <c r="AR177" s="1523">
        <v>0</v>
      </c>
    </row>
    <row s="2983" customFormat="1" customHeight="1" ht="17.25" hidden="1">
      <c r="A178" s="377"/>
      <c r="C178" s="265"/>
      <c r="D178" s="2191">
        <v>2</v>
      </c>
      <c r="E178" s="2199" t="s">
        <v>401</v>
      </c>
      <c r="F178" s="2201" t="s">
        <v>19</v>
      </c>
      <c r="G178" s="2199"/>
      <c r="H178" s="2204"/>
      <c r="I178" s="2206"/>
      <c r="J178" s="2208"/>
      <c r="K178" s="2193"/>
      <c r="L178" s="2193"/>
      <c r="M178" s="2193"/>
      <c r="N178" s="2195"/>
      <c r="O178" s="2193"/>
      <c r="P178" s="2193"/>
      <c r="Q178" s="2193"/>
      <c r="R178" s="2198"/>
      <c r="S178" s="2193"/>
      <c r="T178" s="1526"/>
      <c r="U178" s="1526"/>
      <c r="V178" s="1528"/>
      <c r="W178" s="1352"/>
      <c r="X178" s="1323"/>
      <c r="Y178" s="1323"/>
      <c r="Z178" s="1323"/>
      <c r="AA178" s="1323"/>
      <c r="AB178" s="1323"/>
      <c r="AC178" s="1323" t="s">
        <v>402</v>
      </c>
      <c r="AD178" s="1323" t="s">
        <v>403</v>
      </c>
      <c r="AE178" s="1323" t="s">
        <v>404</v>
      </c>
      <c r="AF178" s="1323" t="s">
        <v>405</v>
      </c>
      <c r="AG178" s="1323"/>
      <c r="AH178" s="1323" t="str">
        <f>IF($E$178=0,"",$E$178)</f>
        <v>Тариф на транспортировку сточных вод</v>
      </c>
      <c r="AI178" s="1323" t="str">
        <f>IF($G$178=0,"",$G$178)</f>
        <v/>
      </c>
      <c r="AJ178" s="1323" t="str">
        <f>IF($J$178=0,"",$J$178)</f>
        <v/>
      </c>
      <c r="AK178" s="1323" t="str">
        <f>IF($K$178="нет","без дифференциации",IF($N$178=0,"",$N$178))</f>
        <v/>
      </c>
      <c r="AL178" s="1323" t="str">
        <f>IF($O$178="нет","без дифференциации",IF($R$178=0,"",$R$178))</f>
        <v/>
      </c>
      <c r="AM178" s="1323" t="str">
        <f>IF($S$178="нет","без дифференциации",IF($V$178=0,"",$V$178))</f>
        <v/>
      </c>
      <c r="AN178" s="1828">
        <f>$I$178</f>
        <v>0</v>
      </c>
      <c r="AO178" s="1323" t="str">
        <f>$I$178&amp;"."&amp;$M$178</f>
        <v>.</v>
      </c>
      <c r="AP178" s="1315" t="str">
        <f>$I$178&amp;"."&amp;$M$178&amp;"."&amp;$Q$178</f>
        <v>..</v>
      </c>
      <c r="AQ178" s="1315" t="str">
        <f>$I$178&amp;"."&amp;$M$178&amp;"."&amp;$Q$178&amp;"."&amp;$U$178</f>
        <v>...</v>
      </c>
      <c r="AR178" s="1523">
        <v>0</v>
      </c>
    </row>
    <row s="2983" customFormat="1" customHeight="1" ht="17.25" hidden="1">
      <c r="A179" s="377"/>
      <c r="C179" s="376"/>
      <c r="D179" s="2191"/>
      <c r="E179" s="2199"/>
      <c r="F179" s="2202"/>
      <c r="G179" s="2199"/>
      <c r="H179" s="2205"/>
      <c r="I179" s="2207"/>
      <c r="J179" s="2209"/>
      <c r="K179" s="2194"/>
      <c r="L179" s="2194"/>
      <c r="M179" s="2194"/>
      <c r="N179" s="2196"/>
      <c r="O179" s="2194"/>
      <c r="P179" s="2194"/>
      <c r="Q179" s="2194"/>
      <c r="R179" s="2197"/>
      <c r="S179" s="2194"/>
      <c r="T179" s="1353"/>
      <c r="U179" s="1353"/>
      <c r="V179" s="1353"/>
      <c r="W179" s="1354"/>
      <c r="X179" s="1315"/>
      <c r="Y179" s="1315"/>
      <c r="Z179" s="1315"/>
      <c r="AA179" s="1315"/>
      <c r="AB179" s="1315"/>
      <c r="AC179" s="1315"/>
      <c r="AD179" s="1315"/>
      <c r="AE179" s="1315"/>
      <c r="AF179" s="1315"/>
      <c r="AG179" s="1315"/>
      <c r="AH179" s="1315"/>
      <c r="AI179" s="1315"/>
      <c r="AJ179" s="1315"/>
      <c r="AK179" s="1315"/>
      <c r="AL179" s="1315"/>
      <c r="AM179" s="1315"/>
      <c r="AN179" s="1315"/>
      <c r="AO179" s="1315"/>
      <c r="AP179" s="1315"/>
      <c r="AQ179" s="1315"/>
      <c r="AR179" s="1523">
        <v>0</v>
      </c>
    </row>
    <row s="2983" customFormat="1" customHeight="1" ht="17.25" hidden="1">
      <c r="A180" s="377"/>
      <c r="C180" s="376"/>
      <c r="D180" s="2192"/>
      <c r="E180" s="2200"/>
      <c r="F180" s="2202"/>
      <c r="G180" s="2200"/>
      <c r="H180" s="2205"/>
      <c r="I180" s="2207"/>
      <c r="J180" s="2210"/>
      <c r="K180" s="2194"/>
      <c r="L180" s="2194"/>
      <c r="M180" s="2194"/>
      <c r="N180" s="2197"/>
      <c r="O180" s="2194"/>
      <c r="P180" s="1527"/>
      <c r="Q180" s="1353"/>
      <c r="R180" s="1353"/>
      <c r="S180" s="385"/>
      <c r="T180" s="385"/>
      <c r="U180" s="385"/>
      <c r="V180" s="385"/>
      <c r="W180" s="1354"/>
      <c r="X180" s="1315"/>
      <c r="Y180" s="1315"/>
      <c r="Z180" s="1315"/>
      <c r="AA180" s="1315"/>
      <c r="AB180" s="1315"/>
      <c r="AC180" s="1315"/>
      <c r="AD180" s="1315"/>
      <c r="AE180" s="1315"/>
      <c r="AF180" s="1315"/>
      <c r="AG180" s="1315"/>
      <c r="AH180" s="1315"/>
      <c r="AI180" s="1315"/>
      <c r="AJ180" s="1315"/>
      <c r="AK180" s="1315"/>
      <c r="AL180" s="1315"/>
      <c r="AM180" s="1315"/>
      <c r="AN180" s="1315"/>
      <c r="AO180" s="1315"/>
      <c r="AP180" s="1315"/>
      <c r="AQ180" s="1315"/>
      <c r="AR180" s="1523">
        <v>0</v>
      </c>
    </row>
    <row s="2983" customFormat="1" customHeight="1" ht="17.25" hidden="1">
      <c r="A181" s="377"/>
      <c r="C181" s="376"/>
      <c r="D181" s="2192"/>
      <c r="E181" s="2200"/>
      <c r="F181" s="2202"/>
      <c r="G181" s="2200"/>
      <c r="H181" s="2205"/>
      <c r="I181" s="2207"/>
      <c r="J181" s="2210"/>
      <c r="K181" s="2194"/>
      <c r="L181" s="1353"/>
      <c r="M181" s="1353"/>
      <c r="N181" s="1353"/>
      <c r="O181" s="1353"/>
      <c r="P181" s="1353"/>
      <c r="Q181" s="1353"/>
      <c r="R181" s="1353"/>
      <c r="S181" s="385"/>
      <c r="T181" s="385"/>
      <c r="U181" s="385"/>
      <c r="V181" s="385"/>
      <c r="W181" s="1354"/>
      <c r="X181" s="1315"/>
      <c r="Y181" s="1315"/>
      <c r="Z181" s="1315"/>
      <c r="AA181" s="1315"/>
      <c r="AB181" s="1315"/>
      <c r="AC181" s="1315"/>
      <c r="AD181" s="1315"/>
      <c r="AE181" s="1315"/>
      <c r="AF181" s="1315"/>
      <c r="AG181" s="1315"/>
      <c r="AH181" s="1315"/>
      <c r="AI181" s="1315"/>
      <c r="AJ181" s="1315"/>
      <c r="AK181" s="1315"/>
      <c r="AL181" s="1315"/>
      <c r="AM181" s="1315"/>
      <c r="AN181" s="1315"/>
      <c r="AO181" s="1315"/>
      <c r="AP181" s="1315"/>
      <c r="AQ181" s="1315"/>
      <c r="AR181" s="1523">
        <v>0</v>
      </c>
    </row>
    <row s="2983" customFormat="1" customHeight="1" ht="17.25" hidden="1">
      <c r="A182" s="377"/>
      <c r="C182" s="376"/>
      <c r="D182" s="2192"/>
      <c r="E182" s="2200"/>
      <c r="F182" s="2203"/>
      <c r="G182" s="2200"/>
      <c r="H182" s="1355"/>
      <c r="I182" s="1356"/>
      <c r="J182" s="1356"/>
      <c r="K182" s="1356"/>
      <c r="L182" s="1356"/>
      <c r="M182" s="1356"/>
      <c r="N182" s="1356"/>
      <c r="O182" s="1356"/>
      <c r="P182" s="1356"/>
      <c r="Q182" s="1356"/>
      <c r="R182" s="1356"/>
      <c r="S182" s="1357"/>
      <c r="T182" s="1357"/>
      <c r="U182" s="1357"/>
      <c r="V182" s="1357"/>
      <c r="W182" s="1358"/>
      <c r="X182" s="1315"/>
      <c r="Y182" s="1315"/>
      <c r="Z182" s="1315"/>
      <c r="AA182" s="1315"/>
      <c r="AB182" s="1315"/>
      <c r="AC182" s="1315"/>
      <c r="AD182" s="1315"/>
      <c r="AE182" s="1315"/>
      <c r="AF182" s="1315"/>
      <c r="AG182" s="1315"/>
      <c r="AH182" s="1315"/>
      <c r="AI182" s="1315"/>
      <c r="AJ182" s="1315"/>
      <c r="AK182" s="1315"/>
      <c r="AL182" s="1315"/>
      <c r="AM182" s="1315"/>
      <c r="AN182" s="1315"/>
      <c r="AO182" s="1315"/>
      <c r="AP182" s="1315"/>
      <c r="AQ182" s="1315"/>
      <c r="AR182" s="1523">
        <v>0</v>
      </c>
    </row>
    <row s="2983" customFormat="1" customHeight="1" ht="17.25" hidden="1">
      <c r="A183" s="377"/>
      <c r="C183" s="265"/>
      <c r="D183" s="2191">
        <v>3</v>
      </c>
      <c r="E183" s="2199" t="s">
        <v>406</v>
      </c>
      <c r="F183" s="2201" t="s">
        <v>19</v>
      </c>
      <c r="G183" s="2199"/>
      <c r="H183" s="2204"/>
      <c r="I183" s="2206"/>
      <c r="J183" s="2208"/>
      <c r="K183" s="2193"/>
      <c r="L183" s="2193"/>
      <c r="M183" s="2193"/>
      <c r="N183" s="2195"/>
      <c r="O183" s="2193"/>
      <c r="P183" s="2193"/>
      <c r="Q183" s="2193"/>
      <c r="R183" s="2198"/>
      <c r="S183" s="2193"/>
      <c r="T183" s="1999"/>
      <c r="U183" s="1999"/>
      <c r="V183" s="2001"/>
      <c r="W183" s="1352"/>
      <c r="X183" s="1323"/>
      <c r="Y183" s="1323"/>
      <c r="Z183" s="1323"/>
      <c r="AA183" s="1323"/>
      <c r="AB183" s="1323"/>
      <c r="AC183" s="1323" t="s">
        <v>407</v>
      </c>
      <c r="AD183" s="1323" t="s">
        <v>408</v>
      </c>
      <c r="AE183" s="1323" t="s">
        <v>409</v>
      </c>
      <c r="AF183" s="1323" t="s">
        <v>410</v>
      </c>
      <c r="AG183" s="1323"/>
      <c r="AH183" s="1323" t="str">
        <f>IF($E$183=0,"",$E$183)</f>
        <v>Тариф на подключение (технологическое присоединение) к централизованной системе водоотведения</v>
      </c>
      <c r="AI183" s="1323" t="str">
        <f>IF($G$183=0,"",$G$183)</f>
        <v/>
      </c>
      <c r="AJ183" s="1323" t="str">
        <f>IF($J$183=0,"",$J$183)</f>
        <v/>
      </c>
      <c r="AK183" s="1323" t="str">
        <f>IF($K$183="нет","без дифференциации",IF($N$183=0,"",$N$183))</f>
        <v/>
      </c>
      <c r="AL183" s="1323" t="str">
        <f>IF($O$183="нет","без дифференциации",IF($R$183=0,"",$R$183))</f>
        <v/>
      </c>
      <c r="AM183" s="1323" t="str">
        <f>IF($S$183="нет","без дифференциации",IF($V$183=0,"",$V$183))</f>
        <v/>
      </c>
      <c r="AN183" s="1828">
        <f>$I$183</f>
        <v>0</v>
      </c>
      <c r="AO183" s="1323" t="str">
        <f>$I$183&amp;"."&amp;$M$183</f>
        <v>.</v>
      </c>
      <c r="AP183" s="1322" t="str">
        <f>$I$183&amp;"."&amp;$M$183&amp;"."&amp;$Q$183</f>
        <v>..</v>
      </c>
      <c r="AQ183" s="1322" t="str">
        <f>$I$183&amp;"."&amp;$M$183&amp;"."&amp;$Q$183&amp;"."&amp;$U$183</f>
        <v>...</v>
      </c>
      <c r="AR183" s="1523">
        <v>0</v>
      </c>
    </row>
    <row s="2983" customFormat="1" customHeight="1" ht="17.25" hidden="1">
      <c r="A184" s="377"/>
      <c r="C184" s="376"/>
      <c r="D184" s="2191"/>
      <c r="E184" s="2199"/>
      <c r="F184" s="2202"/>
      <c r="G184" s="2199"/>
      <c r="H184" s="2205"/>
      <c r="I184" s="2207"/>
      <c r="J184" s="2209"/>
      <c r="K184" s="2194"/>
      <c r="L184" s="2194"/>
      <c r="M184" s="2194"/>
      <c r="N184" s="2196"/>
      <c r="O184" s="2194"/>
      <c r="P184" s="2194"/>
      <c r="Q184" s="2194"/>
      <c r="R184" s="2197"/>
      <c r="S184" s="2194"/>
      <c r="T184" s="2004"/>
      <c r="U184" s="2004"/>
      <c r="V184" s="2004"/>
      <c r="W184" s="2005"/>
      <c r="X184" s="1322"/>
      <c r="Y184" s="1322"/>
      <c r="Z184" s="1322"/>
      <c r="AA184" s="1322"/>
      <c r="AB184" s="1322"/>
      <c r="AC184" s="1322"/>
      <c r="AD184" s="1322"/>
      <c r="AE184" s="1322"/>
      <c r="AF184" s="1322"/>
      <c r="AG184" s="1322"/>
      <c r="AH184" s="1322"/>
      <c r="AI184" s="1322"/>
      <c r="AJ184" s="1322"/>
      <c r="AK184" s="1322"/>
      <c r="AL184" s="1322"/>
      <c r="AM184" s="1322"/>
      <c r="AN184" s="1322"/>
      <c r="AO184" s="1322"/>
      <c r="AP184" s="1322"/>
      <c r="AQ184" s="1322"/>
      <c r="AR184" s="1523">
        <v>0</v>
      </c>
    </row>
    <row s="2983" customFormat="1" customHeight="1" ht="17.25" hidden="1">
      <c r="A185" s="377"/>
      <c r="C185" s="376"/>
      <c r="D185" s="2192"/>
      <c r="E185" s="2200"/>
      <c r="F185" s="2202"/>
      <c r="G185" s="2200"/>
      <c r="H185" s="2205"/>
      <c r="I185" s="2207"/>
      <c r="J185" s="2210"/>
      <c r="K185" s="2194"/>
      <c r="L185" s="2194"/>
      <c r="M185" s="2194"/>
      <c r="N185" s="2197"/>
      <c r="O185" s="2194"/>
      <c r="P185" s="2000"/>
      <c r="Q185" s="2004"/>
      <c r="R185" s="2004"/>
      <c r="S185" s="385"/>
      <c r="T185" s="385"/>
      <c r="U185" s="385"/>
      <c r="V185" s="385"/>
      <c r="W185" s="2005"/>
      <c r="X185" s="1322"/>
      <c r="Y185" s="1322"/>
      <c r="Z185" s="1322"/>
      <c r="AA185" s="1322"/>
      <c r="AB185" s="1322"/>
      <c r="AC185" s="1322"/>
      <c r="AD185" s="1322"/>
      <c r="AE185" s="1322"/>
      <c r="AF185" s="1322"/>
      <c r="AG185" s="1322"/>
      <c r="AH185" s="1322"/>
      <c r="AI185" s="1322"/>
      <c r="AJ185" s="1322"/>
      <c r="AK185" s="1322"/>
      <c r="AL185" s="1322"/>
      <c r="AM185" s="1322"/>
      <c r="AN185" s="1322"/>
      <c r="AO185" s="1322"/>
      <c r="AP185" s="1322"/>
      <c r="AQ185" s="1322"/>
      <c r="AR185" s="1523">
        <v>0</v>
      </c>
    </row>
    <row s="2983" customFormat="1" customHeight="1" ht="17.25" hidden="1">
      <c r="A186" s="377"/>
      <c r="C186" s="376"/>
      <c r="D186" s="2192"/>
      <c r="E186" s="2200"/>
      <c r="F186" s="2202"/>
      <c r="G186" s="2200"/>
      <c r="H186" s="2205"/>
      <c r="I186" s="2207"/>
      <c r="J186" s="2210"/>
      <c r="K186" s="2194"/>
      <c r="L186" s="2004"/>
      <c r="M186" s="2004"/>
      <c r="N186" s="2004"/>
      <c r="O186" s="2004"/>
      <c r="P186" s="2004"/>
      <c r="Q186" s="2004"/>
      <c r="R186" s="2004"/>
      <c r="S186" s="385"/>
      <c r="T186" s="385"/>
      <c r="U186" s="385"/>
      <c r="V186" s="385"/>
      <c r="W186" s="2005"/>
      <c r="X186" s="1322"/>
      <c r="Y186" s="1322"/>
      <c r="Z186" s="1322"/>
      <c r="AA186" s="1322"/>
      <c r="AB186" s="1322"/>
      <c r="AC186" s="1322"/>
      <c r="AD186" s="1322"/>
      <c r="AE186" s="1322"/>
      <c r="AF186" s="1322"/>
      <c r="AG186" s="1322"/>
      <c r="AH186" s="1322"/>
      <c r="AI186" s="1322"/>
      <c r="AJ186" s="1322"/>
      <c r="AK186" s="1322"/>
      <c r="AL186" s="1322"/>
      <c r="AM186" s="1322"/>
      <c r="AN186" s="1322"/>
      <c r="AO186" s="1322"/>
      <c r="AP186" s="1322"/>
      <c r="AQ186" s="1322"/>
      <c r="AR186" s="1523">
        <v>0</v>
      </c>
    </row>
    <row s="2983" customFormat="1" customHeight="1" ht="17.25" hidden="1">
      <c r="A187" s="377"/>
      <c r="C187" s="376"/>
      <c r="D187" s="2192"/>
      <c r="E187" s="2200"/>
      <c r="F187" s="2203"/>
      <c r="G187" s="2200"/>
      <c r="H187" s="1355"/>
      <c r="I187" s="2002"/>
      <c r="J187" s="2002"/>
      <c r="K187" s="2002"/>
      <c r="L187" s="2002"/>
      <c r="M187" s="2002"/>
      <c r="N187" s="2002"/>
      <c r="O187" s="2002"/>
      <c r="P187" s="2002"/>
      <c r="Q187" s="2002"/>
      <c r="R187" s="2002"/>
      <c r="S187" s="1357"/>
      <c r="T187" s="1357"/>
      <c r="U187" s="1357"/>
      <c r="V187" s="1357"/>
      <c r="W187" s="2003"/>
      <c r="X187" s="1322"/>
      <c r="Y187" s="1322"/>
      <c r="Z187" s="1322"/>
      <c r="AA187" s="1322"/>
      <c r="AB187" s="1322"/>
      <c r="AC187" s="1322"/>
      <c r="AD187" s="1322"/>
      <c r="AE187" s="1322"/>
      <c r="AF187" s="1322"/>
      <c r="AG187" s="1322"/>
      <c r="AH187" s="1322"/>
      <c r="AI187" s="1322"/>
      <c r="AJ187" s="1322"/>
      <c r="AK187" s="1322"/>
      <c r="AL187" s="1322"/>
      <c r="AM187" s="1322"/>
      <c r="AN187" s="1322"/>
      <c r="AO187" s="1322"/>
      <c r="AP187" s="1322"/>
      <c r="AQ187" s="1322"/>
      <c r="AR187" s="1523">
        <v>0</v>
      </c>
    </row>
    <row customHeight="1" ht="11.549999999999999">
      <c r="AR188" s="160">
        <v>11</v>
      </c>
    </row>
    <row customHeight="1" ht="11.549999999999999">
      <c r="AR189" s="160">
        <v>11</v>
      </c>
    </row>
    <row customHeight="1" ht="11.549999999999999">
      <c r="AR190" s="160">
        <v>11</v>
      </c>
    </row>
    <row customHeight="1" ht="11.549999999999999">
      <c r="E191" s="1406"/>
      <c r="AR191" s="160">
        <v>11</v>
      </c>
    </row>
    <row customHeight="1" ht="11.549999999999999">
      <c r="E192" s="1406"/>
      <c r="AR192" s="160">
        <v>11</v>
      </c>
    </row>
    <row customHeight="1" ht="11.549999999999999">
      <c r="E193" s="1406"/>
      <c r="AR193" s="160">
        <v>11</v>
      </c>
    </row>
    <row customHeight="1" ht="11.549999999999999">
      <c r="E194" s="1406"/>
      <c r="AR194" s="160">
        <v>11</v>
      </c>
    </row>
    <row customHeight="1" ht="11.549999999999999">
      <c r="E195" s="1406"/>
      <c r="AR195" s="160">
        <v>11</v>
      </c>
    </row>
    <row customHeight="1" ht="11.549999999999999">
      <c r="E196" s="1406"/>
      <c r="AR196" s="160">
        <v>11</v>
      </c>
    </row>
    <row customHeight="1" ht="11.549999999999999">
      <c r="E197" s="1406"/>
      <c r="AR197" s="160">
        <v>11</v>
      </c>
    </row>
    <row customHeight="1" ht="11.25" hidden="1">
      <c r="A198" s="209" t="s">
        <v>86</v>
      </c>
      <c r="B198" s="209">
        <v>0</v>
      </c>
      <c r="C198" s="160">
        <v>3</v>
      </c>
      <c r="D198" s="160">
        <v>6</v>
      </c>
      <c r="E198" s="160">
        <v>42</v>
      </c>
      <c r="F198" s="1339">
        <v>14</v>
      </c>
      <c r="G198" s="160">
        <v>42</v>
      </c>
      <c r="H198" s="160">
        <v>3</v>
      </c>
      <c r="I198" s="160">
        <v>5</v>
      </c>
      <c r="J198" s="160">
        <v>47</v>
      </c>
      <c r="K198" s="160">
        <v>3</v>
      </c>
      <c r="L198" s="160">
        <v>3</v>
      </c>
      <c r="M198" s="160">
        <v>5</v>
      </c>
      <c r="N198" s="160">
        <v>28</v>
      </c>
      <c r="O198" s="160">
        <v>3</v>
      </c>
      <c r="P198" s="160">
        <v>3</v>
      </c>
      <c r="Q198" s="160">
        <v>5</v>
      </c>
      <c r="R198" s="160">
        <v>34</v>
      </c>
      <c r="S198" s="338">
        <v>0</v>
      </c>
      <c r="T198" s="338">
        <v>0</v>
      </c>
      <c r="U198" s="338">
        <v>0</v>
      </c>
      <c r="V198" s="338">
        <v>0</v>
      </c>
      <c r="W198" s="160">
        <v>30</v>
      </c>
      <c r="X198" s="160">
        <v>3</v>
      </c>
      <c r="Y198" s="1315">
        <v>0</v>
      </c>
      <c r="Z198" s="1315">
        <v>0</v>
      </c>
      <c r="AA198" s="1315">
        <v>0</v>
      </c>
      <c r="AB198" s="1315">
        <v>0</v>
      </c>
      <c r="AC198" s="1315">
        <v>0</v>
      </c>
      <c r="AD198" s="1315">
        <v>0</v>
      </c>
      <c r="AE198" s="1315">
        <v>0</v>
      </c>
      <c r="AF198" s="1315">
        <v>0</v>
      </c>
      <c r="AG198" s="1315">
        <v>0</v>
      </c>
      <c r="AH198" s="1315">
        <v>0</v>
      </c>
      <c r="AI198" s="1315">
        <v>0</v>
      </c>
      <c r="AJ198" s="1315">
        <v>0</v>
      </c>
      <c r="AK198" s="1315">
        <v>0</v>
      </c>
      <c r="AL198" s="1315">
        <v>0</v>
      </c>
      <c r="AM198" s="1315">
        <v>0</v>
      </c>
      <c r="AN198" s="1315">
        <v>0</v>
      </c>
      <c r="AO198" s="1315">
        <v>0</v>
      </c>
      <c r="AP198" s="1315">
        <v>0</v>
      </c>
      <c r="AQ198" s="1315">
        <v>0</v>
      </c>
      <c r="AR198" s="160">
        <v>11</v>
      </c>
    </row>
  </sheetData>
  <sheetProtection formatColumns="0" formatRows="0" autoFilter="0" sort="0" insertRows="0" insertColumns="1" deleteRows="0" deleteColumns="0"/>
  <mergeCells count="534">
    <mergeCell ref="R23:R24"/>
    <mergeCell ref="S23:S24"/>
    <mergeCell ref="G23:G27"/>
    <mergeCell ref="H23:H26"/>
    <mergeCell ref="I23:I26"/>
    <mergeCell ref="J23:J26"/>
    <mergeCell ref="K23:K26"/>
    <mergeCell ref="L23:L25"/>
    <mergeCell ref="M23:M25"/>
    <mergeCell ref="N23:N25"/>
    <mergeCell ref="O23:O25"/>
    <mergeCell ref="M183:M185"/>
    <mergeCell ref="N183:N185"/>
    <mergeCell ref="O183:O185"/>
    <mergeCell ref="P183:P184"/>
    <mergeCell ref="Q183:Q184"/>
    <mergeCell ref="R183:R184"/>
    <mergeCell ref="S183:S184"/>
    <mergeCell ref="D183:D187"/>
    <mergeCell ref="E183:E187"/>
    <mergeCell ref="F183:F187"/>
    <mergeCell ref="G183:G187"/>
    <mergeCell ref="H183:H186"/>
    <mergeCell ref="I183:I186"/>
    <mergeCell ref="J183:J186"/>
    <mergeCell ref="K183:K186"/>
    <mergeCell ref="L183:L185"/>
    <mergeCell ref="N151:N153"/>
    <mergeCell ref="O151:O153"/>
    <mergeCell ref="P151:P152"/>
    <mergeCell ref="Q151:Q152"/>
    <mergeCell ref="R151:R152"/>
    <mergeCell ref="S151:S152"/>
    <mergeCell ref="D167:D171"/>
    <mergeCell ref="E167:E171"/>
    <mergeCell ref="F167:F171"/>
    <mergeCell ref="G167:G171"/>
    <mergeCell ref="H167:H170"/>
    <mergeCell ref="I167:I170"/>
    <mergeCell ref="J167:J170"/>
    <mergeCell ref="K167:K170"/>
    <mergeCell ref="L167:L169"/>
    <mergeCell ref="M167:M169"/>
    <mergeCell ref="N167:N169"/>
    <mergeCell ref="O167:O169"/>
    <mergeCell ref="P167:P168"/>
    <mergeCell ref="Q167:Q168"/>
    <mergeCell ref="R167:R168"/>
    <mergeCell ref="S167:S168"/>
    <mergeCell ref="D151:D155"/>
    <mergeCell ref="E151:E155"/>
    <mergeCell ref="F151:F155"/>
    <mergeCell ref="G151:G155"/>
    <mergeCell ref="H151:H154"/>
    <mergeCell ref="I151:I154"/>
    <mergeCell ref="J151:J154"/>
    <mergeCell ref="K151:K154"/>
    <mergeCell ref="L151:L153"/>
    <mergeCell ref="S178:S179"/>
    <mergeCell ref="D178:D182"/>
    <mergeCell ref="E178:E182"/>
    <mergeCell ref="F178:F182"/>
    <mergeCell ref="G178:G182"/>
    <mergeCell ref="H178:H181"/>
    <mergeCell ref="I178:I181"/>
    <mergeCell ref="J178:J181"/>
    <mergeCell ref="K178:K181"/>
    <mergeCell ref="L178:L180"/>
    <mergeCell ref="H173:H176"/>
    <mergeCell ref="I173:I176"/>
    <mergeCell ref="J173:J176"/>
    <mergeCell ref="K173:K176"/>
    <mergeCell ref="L173:L175"/>
    <mergeCell ref="M173:M175"/>
    <mergeCell ref="N173:N175"/>
    <mergeCell ref="M178:M180"/>
    <mergeCell ref="N178:N180"/>
    <mergeCell ref="O178:O180"/>
    <mergeCell ref="P173:P174"/>
    <mergeCell ref="Q173:Q174"/>
    <mergeCell ref="R173:R174"/>
    <mergeCell ref="P178:P179"/>
    <mergeCell ref="Q178:Q179"/>
    <mergeCell ref="R178:R179"/>
    <mergeCell ref="S173:S174"/>
    <mergeCell ref="D173:D177"/>
    <mergeCell ref="E173:E177"/>
    <mergeCell ref="F173:F177"/>
    <mergeCell ref="G173:G177"/>
    <mergeCell ref="M162:M164"/>
    <mergeCell ref="N162:N164"/>
    <mergeCell ref="O162:O164"/>
    <mergeCell ref="P162:P163"/>
    <mergeCell ref="Q162:Q163"/>
    <mergeCell ref="R162:R163"/>
    <mergeCell ref="S162:S163"/>
    <mergeCell ref="D162:D166"/>
    <mergeCell ref="E162:E166"/>
    <mergeCell ref="F162:F166"/>
    <mergeCell ref="G162:G166"/>
    <mergeCell ref="H162:H165"/>
    <mergeCell ref="I162:I165"/>
    <mergeCell ref="J162:J165"/>
    <mergeCell ref="K162:K165"/>
    <mergeCell ref="L162:L164"/>
    <mergeCell ref="O173:O175"/>
    <mergeCell ref="R13:R14"/>
    <mergeCell ref="S13:S14"/>
    <mergeCell ref="M48:M50"/>
    <mergeCell ref="N48:N50"/>
    <mergeCell ref="O48:O50"/>
    <mergeCell ref="N38:N40"/>
    <mergeCell ref="D157:D161"/>
    <mergeCell ref="E157:E161"/>
    <mergeCell ref="F157:F161"/>
    <mergeCell ref="G157:G161"/>
    <mergeCell ref="H157:H160"/>
    <mergeCell ref="I157:I160"/>
    <mergeCell ref="J157:J160"/>
    <mergeCell ref="K157:K160"/>
    <mergeCell ref="L157:L159"/>
    <mergeCell ref="P53:P54"/>
    <mergeCell ref="Q53:Q54"/>
    <mergeCell ref="R53:R54"/>
    <mergeCell ref="S53:S54"/>
    <mergeCell ref="P48:P49"/>
    <mergeCell ref="Q48:Q49"/>
    <mergeCell ref="R48:R49"/>
    <mergeCell ref="S48:S49"/>
    <mergeCell ref="S28:S29"/>
    <mergeCell ref="S18:S19"/>
    <mergeCell ref="M157:M159"/>
    <mergeCell ref="N157:N159"/>
    <mergeCell ref="O157:O159"/>
    <mergeCell ref="P157:P158"/>
    <mergeCell ref="Q157:Q158"/>
    <mergeCell ref="R157:R158"/>
    <mergeCell ref="S157:S158"/>
    <mergeCell ref="O53:O55"/>
    <mergeCell ref="E77:W77"/>
    <mergeCell ref="E69:W69"/>
    <mergeCell ref="E70:W70"/>
    <mergeCell ref="E71:W71"/>
    <mergeCell ref="E72:W72"/>
    <mergeCell ref="E73:W73"/>
    <mergeCell ref="E75:W75"/>
    <mergeCell ref="E76:W76"/>
    <mergeCell ref="K141:K144"/>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135"/>
    <mergeCell ref="E79:E135"/>
    <mergeCell ref="D136:D140"/>
    <mergeCell ref="E136:E140"/>
    <mergeCell ref="F136:F140"/>
    <mergeCell ref="G136:G140"/>
    <mergeCell ref="H136:H139"/>
    <mergeCell ref="I136:I139"/>
    <mergeCell ref="J136:J139"/>
    <mergeCell ref="F79:F135"/>
    <mergeCell ref="G79:G135"/>
    <mergeCell ref="K13:K16"/>
    <mergeCell ref="G18:G22"/>
    <mergeCell ref="K18:K21"/>
    <mergeCell ref="N28:N30"/>
    <mergeCell ref="L141:L143"/>
    <mergeCell ref="Q136:Q137"/>
    <mergeCell ref="R136:R137"/>
    <mergeCell ref="S136:S137"/>
    <mergeCell ref="K136:K139"/>
    <mergeCell ref="N136:N138"/>
    <mergeCell ref="O136:O138"/>
    <mergeCell ref="P136:P137"/>
    <mergeCell ref="S141:S142"/>
    <mergeCell ref="N141:N143"/>
    <mergeCell ref="O141:O143"/>
    <mergeCell ref="P141:P142"/>
    <mergeCell ref="Q141:Q142"/>
    <mergeCell ref="R141:R142"/>
    <mergeCell ref="L136:L138"/>
    <mergeCell ref="M136:M138"/>
    <mergeCell ref="M146:M148"/>
    <mergeCell ref="N146:N148"/>
    <mergeCell ref="O146:O148"/>
    <mergeCell ref="P146:P147"/>
    <mergeCell ref="Q146:Q147"/>
    <mergeCell ref="R146:R147"/>
    <mergeCell ref="S146:S147"/>
    <mergeCell ref="D141:D145"/>
    <mergeCell ref="E141:E145"/>
    <mergeCell ref="M141:M143"/>
    <mergeCell ref="D146:D150"/>
    <mergeCell ref="E146:E150"/>
    <mergeCell ref="F146:F150"/>
    <mergeCell ref="G146:G150"/>
    <mergeCell ref="H146:H149"/>
    <mergeCell ref="I146:I149"/>
    <mergeCell ref="J146:J149"/>
    <mergeCell ref="K146:K149"/>
    <mergeCell ref="L146:L148"/>
    <mergeCell ref="F141:F145"/>
    <mergeCell ref="G141:G145"/>
    <mergeCell ref="H141:H144"/>
    <mergeCell ref="I141:I144"/>
    <mergeCell ref="J141:J144"/>
    <mergeCell ref="S63:S64"/>
    <mergeCell ref="E58:E62"/>
    <mergeCell ref="F58:F62"/>
    <mergeCell ref="G58:G62"/>
    <mergeCell ref="H58:H61"/>
    <mergeCell ref="I58:I61"/>
    <mergeCell ref="J58:J61"/>
    <mergeCell ref="K58:K61"/>
    <mergeCell ref="L58:L60"/>
    <mergeCell ref="D58:D62"/>
    <mergeCell ref="M151:M153"/>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79:M81"/>
    <mergeCell ref="N79:N81"/>
    <mergeCell ref="S79:S80"/>
    <mergeCell ref="H79:H134"/>
    <mergeCell ref="I79:I134"/>
    <mergeCell ref="J79:J134"/>
    <mergeCell ref="K79:K134"/>
    <mergeCell ref="L79:L81"/>
    <mergeCell ref="W79:W80"/>
    <mergeCell ref="O79:O81"/>
    <mergeCell ref="P79:P80"/>
    <mergeCell ref="Q79:Q80"/>
    <mergeCell ref="R79:R80"/>
    <mergeCell ref="L82:L84"/>
    <mergeCell ref="M82:M84"/>
    <mergeCell ref="N82:N84"/>
    <mergeCell ref="O82:O84"/>
    <mergeCell ref="P82:P83"/>
    <mergeCell ref="Q82:Q83"/>
    <mergeCell ref="R82:R83"/>
    <mergeCell ref="S82:S83"/>
    <mergeCell ref="W82:W83"/>
    <mergeCell ref="L85:L87"/>
    <mergeCell ref="M85:M87"/>
    <mergeCell ref="N85:N87"/>
    <mergeCell ref="O85:O87"/>
    <mergeCell ref="P85:P86"/>
    <mergeCell ref="Q85:Q86"/>
    <mergeCell ref="R85:R86"/>
    <mergeCell ref="S85:S86"/>
    <mergeCell ref="W85:W86"/>
    <mergeCell ref="L88:L90"/>
    <mergeCell ref="M88:M90"/>
    <mergeCell ref="N88:N90"/>
    <mergeCell ref="O88:O90"/>
    <mergeCell ref="P88:P89"/>
    <mergeCell ref="Q88:Q89"/>
    <mergeCell ref="R88:R89"/>
    <mergeCell ref="S88:S89"/>
    <mergeCell ref="W88:W89"/>
    <mergeCell ref="L91:L93"/>
    <mergeCell ref="M91:M93"/>
    <mergeCell ref="N91:N93"/>
    <mergeCell ref="O91:O93"/>
    <mergeCell ref="P91:P92"/>
    <mergeCell ref="Q91:Q92"/>
    <mergeCell ref="R91:R92"/>
    <mergeCell ref="S91:S92"/>
    <mergeCell ref="W91:W92"/>
    <mergeCell ref="L94:L98"/>
    <mergeCell ref="M94:M98"/>
    <mergeCell ref="N94:N98"/>
    <mergeCell ref="O94:O98"/>
    <mergeCell ref="P94:P95"/>
    <mergeCell ref="Q94:Q95"/>
    <mergeCell ref="R94:R95"/>
    <mergeCell ref="S94:S95"/>
    <mergeCell ref="W94:W95"/>
    <mergeCell ref="P96:P97"/>
    <mergeCell ref="Q96:Q97"/>
    <mergeCell ref="R96:R97"/>
    <mergeCell ref="S96:S97"/>
    <mergeCell ref="W96:W97"/>
    <mergeCell ref="L99:L101"/>
    <mergeCell ref="M99:M101"/>
    <mergeCell ref="N99:N101"/>
    <mergeCell ref="O99:O101"/>
    <mergeCell ref="P99:P100"/>
    <mergeCell ref="Q99:Q100"/>
    <mergeCell ref="R99:R100"/>
    <mergeCell ref="S99:S100"/>
    <mergeCell ref="W99:W100"/>
    <mergeCell ref="L102:L104"/>
    <mergeCell ref="M102:M104"/>
    <mergeCell ref="N102:N104"/>
    <mergeCell ref="O102:O104"/>
    <mergeCell ref="P102:P103"/>
    <mergeCell ref="Q102:Q103"/>
    <mergeCell ref="R102:R103"/>
    <mergeCell ref="S102:S103"/>
    <mergeCell ref="W102:W103"/>
    <mergeCell ref="L105:L107"/>
    <mergeCell ref="M105:M107"/>
    <mergeCell ref="N105:N107"/>
    <mergeCell ref="O105:O107"/>
    <mergeCell ref="P105:P106"/>
    <mergeCell ref="Q105:Q106"/>
    <mergeCell ref="R105:R106"/>
    <mergeCell ref="S105:S106"/>
    <mergeCell ref="W105:W106"/>
    <mergeCell ref="L108:L110"/>
    <mergeCell ref="M108:M110"/>
    <mergeCell ref="N108:N110"/>
    <mergeCell ref="O108:O110"/>
    <mergeCell ref="P108:P109"/>
    <mergeCell ref="Q108:Q109"/>
    <mergeCell ref="R108:R109"/>
    <mergeCell ref="S108:S109"/>
    <mergeCell ref="W108:W109"/>
    <mergeCell ref="L111:L113"/>
    <mergeCell ref="M111:M113"/>
    <mergeCell ref="N111:N113"/>
    <mergeCell ref="O111:O113"/>
    <mergeCell ref="P111:P112"/>
    <mergeCell ref="Q111:Q112"/>
    <mergeCell ref="R111:R112"/>
    <mergeCell ref="S111:S112"/>
    <mergeCell ref="W111:W112"/>
    <mergeCell ref="L114:L116"/>
    <mergeCell ref="M114:M116"/>
    <mergeCell ref="N114:N116"/>
    <mergeCell ref="O114:O116"/>
    <mergeCell ref="P114:P115"/>
    <mergeCell ref="Q114:Q115"/>
    <mergeCell ref="R114:R115"/>
    <mergeCell ref="S114:S115"/>
    <mergeCell ref="W114:W115"/>
    <mergeCell ref="L117:L119"/>
    <mergeCell ref="M117:M119"/>
    <mergeCell ref="N117:N119"/>
    <mergeCell ref="O117:O119"/>
    <mergeCell ref="P117:P118"/>
    <mergeCell ref="Q117:Q118"/>
    <mergeCell ref="R117:R118"/>
    <mergeCell ref="S117:S118"/>
    <mergeCell ref="W117:W118"/>
    <mergeCell ref="L120:L122"/>
    <mergeCell ref="M120:M122"/>
    <mergeCell ref="N120:N122"/>
    <mergeCell ref="O120:O122"/>
    <mergeCell ref="P120:P121"/>
    <mergeCell ref="Q120:Q121"/>
    <mergeCell ref="R120:R121"/>
    <mergeCell ref="S120:S121"/>
    <mergeCell ref="W120:W121"/>
    <mergeCell ref="L123:L125"/>
    <mergeCell ref="M123:M125"/>
    <mergeCell ref="N123:N125"/>
    <mergeCell ref="O123:O125"/>
    <mergeCell ref="P123:P124"/>
    <mergeCell ref="Q123:Q124"/>
    <mergeCell ref="R123:R124"/>
    <mergeCell ref="S123:S124"/>
    <mergeCell ref="W123:W124"/>
    <mergeCell ref="L126:L128"/>
    <mergeCell ref="M126:M128"/>
    <mergeCell ref="N126:N128"/>
    <mergeCell ref="O126:O128"/>
    <mergeCell ref="P126:P127"/>
    <mergeCell ref="Q126:Q127"/>
    <mergeCell ref="R126:R127"/>
    <mergeCell ref="S126:S127"/>
    <mergeCell ref="W126:W127"/>
    <mergeCell ref="L129:L133"/>
    <mergeCell ref="M129:M133"/>
    <mergeCell ref="N129:N133"/>
    <mergeCell ref="O129:O133"/>
    <mergeCell ref="P129:P130"/>
    <mergeCell ref="Q129:Q130"/>
    <mergeCell ref="R129:R130"/>
    <mergeCell ref="S129:S130"/>
    <mergeCell ref="W129:W130"/>
    <mergeCell ref="P131:P132"/>
    <mergeCell ref="Q131:Q132"/>
    <mergeCell ref="R131:R132"/>
    <mergeCell ref="S131:S132"/>
    <mergeCell ref="W131:W132"/>
  </mergeCells>
  <dataValidations count="336">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136:K137 O136:O137 S136:S137 K146:K147 O146:O147 S146:S147 K141:K142 O141:O142 S53:S54 S141:S142 K53:K54 O53:O54 O183:O184 O157:O158 S157:S158 O162:O163 S162:S163 K157:K158 K162:K163 S151:S152 K178:K179 O178:O179 K173:K174 O173:O174 S178:S179 O167:O168 S173:S174 O58:O59 S58:S59 K58:K59 K63:K64 O63:O64 S63:S64 F79:F81 F134:F155 K151:K152 O151:O152 F157:F171 S167:S168 K167:K168 F173:F187 S183:S184 K183:K184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136:J137 R136:R137 V136:W136 J146:J147 R146:R147 V146:W146 J141:J142 R141:R142 V141:W141 J53:J54 R53:R54 V53:W53 J157:J158 R157:R158 V157:W157 J162:J163 R162:R163 V162:W162 J178:J179 R178:R179 V178:W178 J173:J174 R173:R174 V173:W173 J58:J59 R58:R59 V58:W58 J63:J64 R63:R64 V63:W63 J151:J152 R151:R152 V151:W151 J167:J168 R167:R168 V167:W167 J183:J184 R183:R184 V183:W183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146:N148 N136:N138 N141:N143 N53:N55 N157:N159 N162:N164 N178:N180 N173:N175 N58:N60 N63:N65 N151:N153 N167:N169 N183:N185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71 G173:G187 G79:G81 G134:G155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79">
      <formula1>900</formula1>
    </dataValidation>
    <dataValidation allowBlank="1" showInputMessage="1" showErrorMessage="1" prompt="Для выбора выполните двойной щелчок левой клавиши мыши по соответствующей ячейке." sqref="K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9"/>
    <dataValidation allowBlank="1" showInputMessage="1" showErrorMessage="1" prompt="Для выбора выполните двойной щелчок левой клавиши мыши по соответствующей ячейке." sqref="O79"/>
    <dataValidation type="textLength" operator="lessThanOrEqual" allowBlank="1" showInputMessage="1" showErrorMessage="1" errorTitle="Ошибка" error="Допускается ввод не более 900 символов!" sqref="R79">
      <formula1>900</formula1>
    </dataValidation>
    <dataValidation allowBlank="1" showInputMessage="1" showErrorMessage="1" prompt="Для выбора выполните двойной щелчок левой клавиши мыши по соответствующей ячейке." sqref="S79"/>
    <dataValidation type="textLength" operator="lessThanOrEqual" allowBlank="1" showInputMessage="1" showErrorMessage="1" errorTitle="Ошибка" error="Допускается ввод не более 900 символов!" sqref="V79">
      <formula1>900</formula1>
    </dataValidation>
    <dataValidation type="textLength" operator="lessThanOrEqual" allowBlank="1" showInputMessage="1" showErrorMessage="1" errorTitle="Ошибка" error="Допускается ввод не более 900 символов!" sqref="W79">
      <formula1>900</formula1>
    </dataValidation>
    <dataValidation type="textLength" operator="lessThanOrEqual" allowBlank="1" showInputMessage="1" showErrorMessage="1" errorTitle="Ошибка" error="Допускается ввод не более 900 символов!" sqref="J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0"/>
    <dataValidation type="textLength" operator="lessThanOrEqual" allowBlank="1" showInputMessage="1" showErrorMessage="1" errorTitle="Ошибка" error="Допускается ввод не более 900 символов!" sqref="R80">
      <formula1>900</formula1>
    </dataValidation>
    <dataValidation allowBlank="1" showInputMessage="1" showErrorMessage="1" prompt="Для выбора выполните двойной щелчок левой клавиши мыши по соответствующей ячейке." sqref="S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1"/>
    <dataValidation allowBlank="1" showInputMessage="1" showErrorMessage="1" prompt="Для выбора выполните двойной щелчок левой клавиши мыши по соответствующей ячейке." sqref="F82"/>
    <dataValidation allowBlank="1" showInputMessage="1" showErrorMessage="1" prompt="Выберите виды деятельности, выполнив двойной щелчок левой кнопки мыши по ячейке." sqref="G82"/>
    <dataValidation type="textLength" operator="lessThanOrEqual" allowBlank="1" showInputMessage="1" showErrorMessage="1" errorTitle="Ошибка" error="Допускается ввод не более 900 символов!" sqref="J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2"/>
    <dataValidation allowBlank="1" showInputMessage="1" showErrorMessage="1" prompt="Для выбора выполните двойной щелчок левой клавиши мыши по соответствующей ячейке." sqref="O82"/>
    <dataValidation type="textLength" operator="lessThanOrEqual" allowBlank="1" showInputMessage="1" showErrorMessage="1" errorTitle="Ошибка" error="Допускается ввод не более 900 символов!" sqref="R82">
      <formula1>900</formula1>
    </dataValidation>
    <dataValidation allowBlank="1" showInputMessage="1" showErrorMessage="1" prompt="Для выбора выполните двойной щелчок левой клавиши мыши по соответствующей ячейке." sqref="S82"/>
    <dataValidation type="textLength" operator="lessThanOrEqual" allowBlank="1" showInputMessage="1" showErrorMessage="1" errorTitle="Ошибка" error="Допускается ввод не более 900 символов!" sqref="V82">
      <formula1>900</formula1>
    </dataValidation>
    <dataValidation type="textLength" operator="lessThanOrEqual" allowBlank="1" showInputMessage="1" showErrorMessage="1" errorTitle="Ошибка" error="Допускается ввод не более 900 символов!" sqref="W82">
      <formula1>900</formula1>
    </dataValidation>
    <dataValidation allowBlank="1" showInputMessage="1" showErrorMessage="1" prompt="Для выбора выполните двойной щелчок левой клавиши мыши по соответствующей ячейке." sqref="F83"/>
    <dataValidation allowBlank="1" showInputMessage="1" showErrorMessage="1" prompt="Выберите виды деятельности, выполнив двойной щелчок левой кнопки мыши по ячейке." sqref="G83"/>
    <dataValidation type="textLength" operator="lessThanOrEqual" allowBlank="1" showInputMessage="1" showErrorMessage="1" errorTitle="Ошибка" error="Допускается ввод не более 900 символов!" sqref="J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3"/>
    <dataValidation type="textLength" operator="lessThanOrEqual" allowBlank="1" showInputMessage="1" showErrorMessage="1" errorTitle="Ошибка" error="Допускается ввод не более 900 символов!" sqref="R83">
      <formula1>900</formula1>
    </dataValidation>
    <dataValidation allowBlank="1" showInputMessage="1" showErrorMessage="1" prompt="Для выбора выполните двойной щелчок левой клавиши мыши по соответствующей ячейке." sqref="S83"/>
    <dataValidation allowBlank="1" showInputMessage="1" showErrorMessage="1" prompt="Для выбора выполните двойной щелчок левой клавиши мыши по соответствующей ячейке." sqref="F84"/>
    <dataValidation allowBlank="1" showInputMessage="1" showErrorMessage="1" prompt="Выберите виды деятельности, выполнив двойной щелчок левой кнопки мыши по ячейке." sqref="G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4"/>
    <dataValidation allowBlank="1" showInputMessage="1" showErrorMessage="1" prompt="Для выбора выполните двойной щелчок левой клавиши мыши по соответствующей ячейке." sqref="F85"/>
    <dataValidation allowBlank="1" showInputMessage="1" showErrorMessage="1" prompt="Выберите виды деятельности, выполнив двойной щелчок левой кнопки мыши по ячейке." sqref="G85"/>
    <dataValidation type="textLength" operator="lessThanOrEqual" allowBlank="1" showInputMessage="1" showErrorMessage="1" errorTitle="Ошибка" error="Допускается ввод не более 900 символов!" sqref="J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5"/>
    <dataValidation allowBlank="1" showInputMessage="1" showErrorMessage="1" prompt="Для выбора выполните двойной щелчок левой клавиши мыши по соответствующей ячейке." sqref="O85"/>
    <dataValidation type="textLength" operator="lessThanOrEqual" allowBlank="1" showInputMessage="1" showErrorMessage="1" errorTitle="Ошибка" error="Допускается ввод не более 900 символов!" sqref="R85">
      <formula1>900</formula1>
    </dataValidation>
    <dataValidation allowBlank="1" showInputMessage="1" showErrorMessage="1" prompt="Для выбора выполните двойной щелчок левой клавиши мыши по соответствующей ячейке." sqref="S85"/>
    <dataValidation type="textLength" operator="lessThanOrEqual" allowBlank="1" showInputMessage="1" showErrorMessage="1" errorTitle="Ошибка" error="Допускается ввод не более 900 символов!" sqref="V85">
      <formula1>900</formula1>
    </dataValidation>
    <dataValidation type="textLength" operator="lessThanOrEqual" allowBlank="1" showInputMessage="1" showErrorMessage="1" errorTitle="Ошибка" error="Допускается ввод не более 900 символов!" sqref="W85">
      <formula1>900</formula1>
    </dataValidation>
    <dataValidation allowBlank="1" showInputMessage="1" showErrorMessage="1" prompt="Для выбора выполните двойной щелчок левой клавиши мыши по соответствующей ячейке." sqref="F86"/>
    <dataValidation allowBlank="1" showInputMessage="1" showErrorMessage="1" prompt="Выберите виды деятельности, выполнив двойной щелчок левой кнопки мыши по ячейке." sqref="G86"/>
    <dataValidation type="textLength" operator="lessThanOrEqual" allowBlank="1" showInputMessage="1" showErrorMessage="1" errorTitle="Ошибка" error="Допускается ввод не более 900 символов!" sqref="J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6"/>
    <dataValidation type="textLength" operator="lessThanOrEqual" allowBlank="1" showInputMessage="1" showErrorMessage="1" errorTitle="Ошибка" error="Допускается ввод не более 900 символов!" sqref="R86">
      <formula1>900</formula1>
    </dataValidation>
    <dataValidation allowBlank="1" showInputMessage="1" showErrorMessage="1" prompt="Для выбора выполните двойной щелчок левой клавиши мыши по соответствующей ячейке." sqref="S86"/>
    <dataValidation allowBlank="1" showInputMessage="1" showErrorMessage="1" prompt="Для выбора выполните двойной щелчок левой клавиши мыши по соответствующей ячейке." sqref="F87"/>
    <dataValidation allowBlank="1" showInputMessage="1" showErrorMessage="1" prompt="Выберите виды деятельности, выполнив двойной щелчок левой кнопки мыши по ячейке." sqref="G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7"/>
    <dataValidation allowBlank="1" showInputMessage="1" showErrorMessage="1" prompt="Для выбора выполните двойной щелчок левой клавиши мыши по соответствующей ячейке." sqref="F88"/>
    <dataValidation allowBlank="1" showInputMessage="1" showErrorMessage="1" prompt="Выберите виды деятельности, выполнив двойной щелчок левой кнопки мыши по ячейке." sqref="G88"/>
    <dataValidation type="textLength" operator="lessThanOrEqual" allowBlank="1" showInputMessage="1" showErrorMessage="1" errorTitle="Ошибка" error="Допускается ввод не более 900 символов!" sqref="J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8"/>
    <dataValidation allowBlank="1" showInputMessage="1" showErrorMessage="1" prompt="Для выбора выполните двойной щелчок левой клавиши мыши по соответствующей ячейке." sqref="O88"/>
    <dataValidation type="textLength" operator="lessThanOrEqual" allowBlank="1" showInputMessage="1" showErrorMessage="1" errorTitle="Ошибка" error="Допускается ввод не более 900 символов!" sqref="R88">
      <formula1>900</formula1>
    </dataValidation>
    <dataValidation allowBlank="1" showInputMessage="1" showErrorMessage="1" prompt="Для выбора выполните двойной щелчок левой клавиши мыши по соответствующей ячейке." sqref="S88"/>
    <dataValidation type="textLength" operator="lessThanOrEqual" allowBlank="1" showInputMessage="1" showErrorMessage="1" errorTitle="Ошибка" error="Допускается ввод не более 900 символов!" sqref="V88">
      <formula1>900</formula1>
    </dataValidation>
    <dataValidation type="textLength" operator="lessThanOrEqual" allowBlank="1" showInputMessage="1" showErrorMessage="1" errorTitle="Ошибка" error="Допускается ввод не более 900 символов!" sqref="W88">
      <formula1>900</formula1>
    </dataValidation>
    <dataValidation allowBlank="1" showInputMessage="1" showErrorMessage="1" prompt="Для выбора выполните двойной щелчок левой клавиши мыши по соответствующей ячейке." sqref="F89"/>
    <dataValidation allowBlank="1" showInputMessage="1" showErrorMessage="1" prompt="Выберите виды деятельности, выполнив двойной щелчок левой кнопки мыши по ячейке." sqref="G89"/>
    <dataValidation type="textLength" operator="lessThanOrEqual" allowBlank="1" showInputMessage="1" showErrorMessage="1" errorTitle="Ошибка" error="Допускается ввод не более 900 символов!" sqref="J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89"/>
    <dataValidation type="textLength" operator="lessThanOrEqual" allowBlank="1" showInputMessage="1" showErrorMessage="1" errorTitle="Ошибка" error="Допускается ввод не более 900 символов!" sqref="R89">
      <formula1>900</formula1>
    </dataValidation>
    <dataValidation allowBlank="1" showInputMessage="1" showErrorMessage="1" prompt="Для выбора выполните двойной щелчок левой клавиши мыши по соответствующей ячейке." sqref="S89"/>
    <dataValidation allowBlank="1" showInputMessage="1" showErrorMessage="1" prompt="Для выбора выполните двойной щелчок левой клавиши мыши по соответствующей ячейке." sqref="F90"/>
    <dataValidation allowBlank="1" showInputMessage="1" showErrorMessage="1" prompt="Выберите виды деятельности, выполнив двойной щелчок левой кнопки мыши по ячейке." sqref="G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0"/>
    <dataValidation allowBlank="1" showInputMessage="1" showErrorMessage="1" prompt="Для выбора выполните двойной щелчок левой клавиши мыши по соответствующей ячейке." sqref="F91"/>
    <dataValidation allowBlank="1" showInputMessage="1" showErrorMessage="1" prompt="Выберите виды деятельности, выполнив двойной щелчок левой кнопки мыши по ячейке." sqref="G91"/>
    <dataValidation type="textLength" operator="lessThanOrEqual" allowBlank="1" showInputMessage="1" showErrorMessage="1" errorTitle="Ошибка" error="Допускается ввод не более 900 символов!" sqref="J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1"/>
    <dataValidation allowBlank="1" showInputMessage="1" showErrorMessage="1" prompt="Для выбора выполните двойной щелчок левой клавиши мыши по соответствующей ячейке." sqref="O91"/>
    <dataValidation type="textLength" operator="lessThanOrEqual" allowBlank="1" showInputMessage="1" showErrorMessage="1" errorTitle="Ошибка" error="Допускается ввод не более 900 символов!" sqref="R91">
      <formula1>900</formula1>
    </dataValidation>
    <dataValidation allowBlank="1" showInputMessage="1" showErrorMessage="1" prompt="Для выбора выполните двойной щелчок левой клавиши мыши по соответствующей ячейке." sqref="S91"/>
    <dataValidation type="textLength" operator="lessThanOrEqual" allowBlank="1" showInputMessage="1" showErrorMessage="1" errorTitle="Ошибка" error="Допускается ввод не более 900 символов!" sqref="V91">
      <formula1>900</formula1>
    </dataValidation>
    <dataValidation type="textLength" operator="lessThanOrEqual" allowBlank="1" showInputMessage="1" showErrorMessage="1" errorTitle="Ошибка" error="Допускается ввод не более 900 символов!" sqref="W91">
      <formula1>900</formula1>
    </dataValidation>
    <dataValidation allowBlank="1" showInputMessage="1" showErrorMessage="1" prompt="Для выбора выполните двойной щелчок левой клавиши мыши по соответствующей ячейке." sqref="F92"/>
    <dataValidation allowBlank="1" showInputMessage="1" showErrorMessage="1" prompt="Выберите виды деятельности, выполнив двойной щелчок левой кнопки мыши по ячейке." sqref="G92"/>
    <dataValidation type="textLength" operator="lessThanOrEqual" allowBlank="1" showInputMessage="1" showErrorMessage="1" errorTitle="Ошибка" error="Допускается ввод не более 900 символов!" sqref="J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2"/>
    <dataValidation type="textLength" operator="lessThanOrEqual" allowBlank="1" showInputMessage="1" showErrorMessage="1" errorTitle="Ошибка" error="Допускается ввод не более 900 символов!" sqref="R92">
      <formula1>900</formula1>
    </dataValidation>
    <dataValidation allowBlank="1" showInputMessage="1" showErrorMessage="1" prompt="Для выбора выполните двойной щелчок левой клавиши мыши по соответствующей ячейке." sqref="S92"/>
    <dataValidation allowBlank="1" showInputMessage="1" showErrorMessage="1" prompt="Для выбора выполните двойной щелчок левой клавиши мыши по соответствующей ячейке." sqref="F93"/>
    <dataValidation allowBlank="1" showInputMessage="1" showErrorMessage="1" prompt="Выберите виды деятельности, выполнив двойной щелчок левой кнопки мыши по ячейке." sqref="G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3"/>
    <dataValidation allowBlank="1" showInputMessage="1" showErrorMessage="1" prompt="Для выбора выполните двойной щелчок левой клавиши мыши по соответствующей ячейке." sqref="F94"/>
    <dataValidation allowBlank="1" showInputMessage="1" showErrorMessage="1" prompt="Выберите виды деятельности, выполнив двойной щелчок левой кнопки мыши по ячейке." sqref="G94"/>
    <dataValidation type="textLength" operator="lessThanOrEqual" allowBlank="1" showInputMessage="1" showErrorMessage="1" errorTitle="Ошибка" error="Допускается ввод не более 900 символов!" sqref="J9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4"/>
    <dataValidation allowBlank="1" showInputMessage="1" showErrorMessage="1" prompt="Для выбора выполните двойной щелчок левой клавиши мыши по соответствующей ячейке." sqref="O94"/>
    <dataValidation type="textLength" operator="lessThanOrEqual" allowBlank="1" showInputMessage="1" showErrorMessage="1" errorTitle="Ошибка" error="Допускается ввод не более 900 символов!" sqref="R94">
      <formula1>900</formula1>
    </dataValidation>
    <dataValidation allowBlank="1" showInputMessage="1" showErrorMessage="1" prompt="Для выбора выполните двойной щелчок левой клавиши мыши по соответствующей ячейке." sqref="S94"/>
    <dataValidation type="textLength" operator="lessThanOrEqual" allowBlank="1" showInputMessage="1" showErrorMessage="1" errorTitle="Ошибка" error="Допускается ввод не более 900 символов!" sqref="V94">
      <formula1>900</formula1>
    </dataValidation>
    <dataValidation type="textLength" operator="lessThanOrEqual" allowBlank="1" showInputMessage="1" showErrorMessage="1" errorTitle="Ошибка" error="Допускается ввод не более 900 символов!" sqref="W94">
      <formula1>900</formula1>
    </dataValidation>
    <dataValidation allowBlank="1" showInputMessage="1" showErrorMessage="1" prompt="Для выбора выполните двойной щелчок левой клавиши мыши по соответствующей ячейке." sqref="F95"/>
    <dataValidation allowBlank="1" showInputMessage="1" showErrorMessage="1" prompt="Выберите виды деятельности, выполнив двойной щелчок левой кнопки мыши по ячейке." sqref="G95"/>
    <dataValidation type="textLength" operator="lessThanOrEqual" allowBlank="1" showInputMessage="1" showErrorMessage="1" errorTitle="Ошибка" error="Допускается ввод не более 900 символов!" sqref="J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5"/>
    <dataValidation type="textLength" operator="lessThanOrEqual" allowBlank="1" showInputMessage="1" showErrorMessage="1" errorTitle="Ошибка" error="Допускается ввод не более 900 символов!" sqref="R95">
      <formula1>900</formula1>
    </dataValidation>
    <dataValidation allowBlank="1" showInputMessage="1" showErrorMessage="1" prompt="Для выбора выполните двойной щелчок левой клавиши мыши по соответствующей ячейке." sqref="S95"/>
    <dataValidation allowBlank="1" showInputMessage="1" showErrorMessage="1" prompt="Для выбора выполните двойной щелчок левой клавиши мыши по соответствующей ячейке." sqref="F98"/>
    <dataValidation allowBlank="1" showInputMessage="1" showErrorMessage="1" prompt="Выберите виды деятельности, выполнив двойной щелчок левой кнопки мыши по ячейке." sqref="G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8"/>
    <dataValidation allowBlank="1" showInputMessage="1" showErrorMessage="1" prompt="Для выбора выполните двойной щелчок левой клавиши мыши по соответствующей ячейке." sqref="F96"/>
    <dataValidation allowBlank="1" showInputMessage="1" showErrorMessage="1" prompt="Выберите виды деятельности, выполнив двойной щелчок левой кнопки мыши по ячейке." sqref="G96"/>
    <dataValidation type="textLength" operator="lessThanOrEqual" allowBlank="1" showInputMessage="1" showErrorMessage="1" errorTitle="Ошибка" error="Допускается ввод не более 900 символов!" sqref="J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6"/>
    <dataValidation allowBlank="1" showInputMessage="1" showErrorMessage="1" prompt="Для выбора выполните двойной щелчок левой клавиши мыши по соответствующей ячейке." sqref="O96"/>
    <dataValidation type="textLength" operator="lessThanOrEqual" allowBlank="1" showInputMessage="1" showErrorMessage="1" errorTitle="Ошибка" error="Допускается ввод не более 900 символов!" sqref="R96">
      <formula1>900</formula1>
    </dataValidation>
    <dataValidation allowBlank="1" showInputMessage="1" showErrorMessage="1" prompt="Для выбора выполните двойной щелчок левой клавиши мыши по соответствующей ячейке." sqref="S96"/>
    <dataValidation type="textLength" operator="lessThanOrEqual" allowBlank="1" showInputMessage="1" showErrorMessage="1" errorTitle="Ошибка" error="Допускается ввод не более 900 символов!" sqref="V96">
      <formula1>900</formula1>
    </dataValidation>
    <dataValidation type="textLength" operator="lessThanOrEqual" allowBlank="1" showInputMessage="1" showErrorMessage="1" errorTitle="Ошибка" error="Допускается ввод не более 900 символов!" sqref="W96">
      <formula1>900</formula1>
    </dataValidation>
    <dataValidation allowBlank="1" showInputMessage="1" showErrorMessage="1" prompt="Для выбора выполните двойной щелчок левой клавиши мыши по соответствующей ячейке." sqref="F97"/>
    <dataValidation allowBlank="1" showInputMessage="1" showErrorMessage="1" prompt="Выберите виды деятельности, выполнив двойной щелчок левой кнопки мыши по ячейке." sqref="G97"/>
    <dataValidation type="textLength" operator="lessThanOrEqual" allowBlank="1" showInputMessage="1" showErrorMessage="1" errorTitle="Ошибка" error="Допускается ввод не более 900 символов!" sqref="J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7"/>
    <dataValidation type="textLength" operator="lessThanOrEqual" allowBlank="1" showInputMessage="1" showErrorMessage="1" errorTitle="Ошибка" error="Допускается ввод не более 900 символов!" sqref="R97">
      <formula1>900</formula1>
    </dataValidation>
    <dataValidation allowBlank="1" showInputMessage="1" showErrorMessage="1" prompt="Для выбора выполните двойной щелчок левой клавиши мыши по соответствующей ячейке." sqref="S97"/>
    <dataValidation allowBlank="1" showInputMessage="1" showErrorMessage="1" prompt="Для выбора выполните двойной щелчок левой клавиши мыши по соответствующей ячейке." sqref="F99"/>
    <dataValidation allowBlank="1" showInputMessage="1" showErrorMessage="1" prompt="Выберите виды деятельности, выполнив двойной щелчок левой кнопки мыши по ячейке." sqref="G99"/>
    <dataValidation type="textLength" operator="lessThanOrEqual" allowBlank="1" showInputMessage="1" showErrorMessage="1" errorTitle="Ошибка" error="Допускается ввод не более 900 символов!" sqref="J9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9"/>
    <dataValidation allowBlank="1" showInputMessage="1" showErrorMessage="1" prompt="Для выбора выполните двойной щелчок левой клавиши мыши по соответствующей ячейке." sqref="O99"/>
    <dataValidation type="textLength" operator="lessThanOrEqual" allowBlank="1" showInputMessage="1" showErrorMessage="1" errorTitle="Ошибка" error="Допускается ввод не более 900 символов!" sqref="R99">
      <formula1>900</formula1>
    </dataValidation>
    <dataValidation allowBlank="1" showInputMessage="1" showErrorMessage="1" prompt="Для выбора выполните двойной щелчок левой клавиши мыши по соответствующей ячейке." sqref="S99"/>
    <dataValidation type="textLength" operator="lessThanOrEqual" allowBlank="1" showInputMessage="1" showErrorMessage="1" errorTitle="Ошибка" error="Допускается ввод не более 900 символов!" sqref="V99">
      <formula1>900</formula1>
    </dataValidation>
    <dataValidation type="textLength" operator="lessThanOrEqual" allowBlank="1" showInputMessage="1" showErrorMessage="1" errorTitle="Ошибка" error="Допускается ввод не более 900 символов!" sqref="W99">
      <formula1>900</formula1>
    </dataValidation>
    <dataValidation allowBlank="1" showInputMessage="1" showErrorMessage="1" prompt="Для выбора выполните двойной щелчок левой клавиши мыши по соответствующей ячейке." sqref="F100"/>
    <dataValidation allowBlank="1" showInputMessage="1" showErrorMessage="1" prompt="Выберите виды деятельности, выполнив двойной щелчок левой кнопки мыши по ячейке." sqref="G100"/>
    <dataValidation type="textLength" operator="lessThanOrEqual" allowBlank="1" showInputMessage="1" showErrorMessage="1" errorTitle="Ошибка" error="Допускается ввод не более 900 символов!" sqref="J10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0"/>
    <dataValidation type="textLength" operator="lessThanOrEqual" allowBlank="1" showInputMessage="1" showErrorMessage="1" errorTitle="Ошибка" error="Допускается ввод не более 900 символов!" sqref="R100">
      <formula1>900</formula1>
    </dataValidation>
    <dataValidation allowBlank="1" showInputMessage="1" showErrorMessage="1" prompt="Для выбора выполните двойной щелчок левой клавиши мыши по соответствующей ячейке." sqref="S100"/>
    <dataValidation allowBlank="1" showInputMessage="1" showErrorMessage="1" prompt="Для выбора выполните двойной щелчок левой клавиши мыши по соответствующей ячейке." sqref="F101"/>
    <dataValidation allowBlank="1" showInputMessage="1" showErrorMessage="1" prompt="Выберите виды деятельности, выполнив двойной щелчок левой кнопки мыши по ячейке." sqref="G10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1"/>
    <dataValidation allowBlank="1" showInputMessage="1" showErrorMessage="1" prompt="Для выбора выполните двойной щелчок левой клавиши мыши по соответствующей ячейке." sqref="F102"/>
    <dataValidation allowBlank="1" showInputMessage="1" showErrorMessage="1" prompt="Выберите виды деятельности, выполнив двойной щелчок левой кнопки мыши по ячейке." sqref="G102"/>
    <dataValidation type="textLength" operator="lessThanOrEqual" allowBlank="1" showInputMessage="1" showErrorMessage="1" errorTitle="Ошибка" error="Допускается ввод не более 900 символов!" sqref="J10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2"/>
    <dataValidation allowBlank="1" showInputMessage="1" showErrorMessage="1" prompt="Для выбора выполните двойной щелчок левой клавиши мыши по соответствующей ячейке." sqref="O102"/>
    <dataValidation type="textLength" operator="lessThanOrEqual" allowBlank="1" showInputMessage="1" showErrorMessage="1" errorTitle="Ошибка" error="Допускается ввод не более 900 символов!" sqref="R102">
      <formula1>900</formula1>
    </dataValidation>
    <dataValidation allowBlank="1" showInputMessage="1" showErrorMessage="1" prompt="Для выбора выполните двойной щелчок левой клавиши мыши по соответствующей ячейке." sqref="S102"/>
    <dataValidation type="textLength" operator="lessThanOrEqual" allowBlank="1" showInputMessage="1" showErrorMessage="1" errorTitle="Ошибка" error="Допускается ввод не более 900 символов!" sqref="V102">
      <formula1>900</formula1>
    </dataValidation>
    <dataValidation type="textLength" operator="lessThanOrEqual" allowBlank="1" showInputMessage="1" showErrorMessage="1" errorTitle="Ошибка" error="Допускается ввод не более 900 символов!" sqref="W102">
      <formula1>900</formula1>
    </dataValidation>
    <dataValidation allowBlank="1" showInputMessage="1" showErrorMessage="1" prompt="Для выбора выполните двойной щелчок левой клавиши мыши по соответствующей ячейке." sqref="F103"/>
    <dataValidation allowBlank="1" showInputMessage="1" showErrorMessage="1" prompt="Выберите виды деятельности, выполнив двойной щелчок левой кнопки мыши по ячейке." sqref="G103"/>
    <dataValidation type="textLength" operator="lessThanOrEqual" allowBlank="1" showInputMessage="1" showErrorMessage="1" errorTitle="Ошибка" error="Допускается ввод не более 900 символов!" sqref="J10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3"/>
    <dataValidation type="textLength" operator="lessThanOrEqual" allowBlank="1" showInputMessage="1" showErrorMessage="1" errorTitle="Ошибка" error="Допускается ввод не более 900 символов!" sqref="R103">
      <formula1>900</formula1>
    </dataValidation>
    <dataValidation allowBlank="1" showInputMessage="1" showErrorMessage="1" prompt="Для выбора выполните двойной щелчок левой клавиши мыши по соответствующей ячейке." sqref="S103"/>
    <dataValidation allowBlank="1" showInputMessage="1" showErrorMessage="1" prompt="Для выбора выполните двойной щелчок левой клавиши мыши по соответствующей ячейке." sqref="F104"/>
    <dataValidation allowBlank="1" showInputMessage="1" showErrorMessage="1" prompt="Выберите виды деятельности, выполнив двойной щелчок левой кнопки мыши по ячейке." sqref="G10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4"/>
    <dataValidation allowBlank="1" showInputMessage="1" showErrorMessage="1" prompt="Для выбора выполните двойной щелчок левой клавиши мыши по соответствующей ячейке." sqref="F105"/>
    <dataValidation allowBlank="1" showInputMessage="1" showErrorMessage="1" prompt="Выберите виды деятельности, выполнив двойной щелчок левой кнопки мыши по ячейке." sqref="G105"/>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allowBlank="1" showInputMessage="1" showErrorMessage="1" prompt="Для выбора выполните двойной щелчок левой клавиши мыши по соответствующей ячейке." sqref="F106"/>
    <dataValidation allowBlank="1" showInputMessage="1" showErrorMessage="1" prompt="Выберите виды деятельности, выполнив двойной щелчок левой кнопки мыши по ячейке." sqref="G106"/>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allowBlank="1" showInputMessage="1" showErrorMessage="1" prompt="Для выбора выполните двойной щелчок левой клавиши мыши по соответствующей ячейке." sqref="O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V108">
      <formula1>900</formula1>
    </dataValidation>
    <dataValidation type="textLength" operator="lessThanOrEqual" allowBlank="1" showInputMessage="1" showErrorMessage="1" errorTitle="Ошибка" error="Допускается ввод не более 900 символов!" sqref="W108">
      <formula1>900</formula1>
    </dataValidation>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allowBlank="1" showInputMessage="1" showErrorMessage="1" prompt="Для выбора выполните двойной щелчок левой клавиши мыши по соответствующей ячейке." sqref="O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V114">
      <formula1>900</formula1>
    </dataValidation>
    <dataValidation type="textLength" operator="lessThanOrEqual" allowBlank="1" showInputMessage="1" showErrorMessage="1" errorTitle="Ошибка" error="Допускается ввод не более 900 символов!" sqref="W114">
      <formula1>900</formula1>
    </dataValidation>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O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V117">
      <formula1>900</formula1>
    </dataValidation>
    <dataValidation type="textLength" operator="lessThanOrEqual" allowBlank="1" showInputMessage="1" showErrorMessage="1" errorTitle="Ошибка" error="Допускается ввод не более 900 символов!" sqref="W117">
      <formula1>900</formula1>
    </dataValidation>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O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V120">
      <formula1>900</formula1>
    </dataValidation>
    <dataValidation type="textLength" operator="lessThanOrEqual" allowBlank="1" showInputMessage="1" showErrorMessage="1" errorTitle="Ошибка" error="Допускается ввод не более 900 символов!" sqref="W120">
      <formula1>900</formula1>
    </dataValidation>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O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V123">
      <formula1>900</formula1>
    </dataValidation>
    <dataValidation type="textLength" operator="lessThanOrEqual" allowBlank="1" showInputMessage="1" showErrorMessage="1" errorTitle="Ошибка" error="Допускается ввод не более 900 символов!" sqref="W123">
      <formula1>900</formula1>
    </dataValidation>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O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V126">
      <formula1>900</formula1>
    </dataValidation>
    <dataValidation type="textLength" operator="lessThanOrEqual" allowBlank="1" showInputMessage="1" showErrorMessage="1" errorTitle="Ошибка" error="Допускается ввод не более 900 символов!" sqref="W126">
      <formula1>900</formula1>
    </dataValidation>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allowBlank="1" showInputMessage="1" showErrorMessage="1" prompt="Для выбора выполните двойной щелчок левой клавиши мыши по соответствующей ячейке." sqref="O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V129">
      <formula1>900</formula1>
    </dataValidation>
    <dataValidation type="textLength" operator="lessThanOrEqual" allowBlank="1" showInputMessage="1" showErrorMessage="1" errorTitle="Ошибка" error="Допускается ввод не более 900 символов!" sqref="W129">
      <formula1>900</formula1>
    </dataValidation>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O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9A4E07-C4A8-7FF3-962A-.0DD6799442B}" mc:Ignorable="x14ac xr xr2 xr3">
  <sheetPr>
    <tabColor theme="2" tint="-0.1"/>
  </sheetPr>
  <dimension ref="A1:V30"/>
  <sheetViews>
    <sheetView topLeftCell="A1" showGridLines="0" zoomScale="90" workbookViewId="0">
      <selection activeCell="A1" sqref="A1"/>
    </sheetView>
  </sheetViews>
  <sheetFormatPr defaultColWidth="10.57421875" customHeight="1" defaultRowHeight="15"/>
  <cols>
    <col min="1" max="1" style="2738" width="9.140625" hidden="1" customWidth="1"/>
    <col min="2" max="2" style="2774" width="9.140625" hidden="1" customWidth="1"/>
    <col min="3" max="3" style="12709" width="4.00390625" customWidth="1"/>
    <col min="4" max="4" style="2774" width="6.00390625" customWidth="1"/>
    <col min="5" max="5" style="2774" width="47.00390625" customWidth="1"/>
    <col min="6" max="6" style="2774" width="9.00390625" customWidth="1"/>
    <col min="7" max="7" style="2774" width="25.7109375" hidden="1" customWidth="1"/>
    <col min="8" max="8" style="2774" width="34.00390625" hidden="1" customWidth="1"/>
    <col min="9" max="9" style="2774" width="25.7109375" customWidth="1"/>
    <col min="10" max="10" style="2774" width="33.00390625" customWidth="1"/>
    <col min="11" max="11" style="2850" width="50.00390625" customWidth="1"/>
    <col min="12" max="20" style="2774" width="10.00390625" customWidth="1"/>
    <col min="21" max="21" style="12648" width="10.00390625" customWidth="1"/>
    <col min="22" max="22" style="2774" width="10.57421875" hidden="1"/>
  </cols>
  <sheetData>
    <row s="2850" customFormat="1" customHeight="1" ht="22.5" hidden="1">
      <c r="C1" s="728"/>
      <c r="G1" s="473">
        <v>4</v>
      </c>
      <c r="I1" s="473">
        <v>4</v>
      </c>
      <c r="U1" s="476"/>
      <c r="V1" s="473" t="s">
        <v>14</v>
      </c>
    </row>
    <row s="2774" customFormat="1" customHeight="1" ht="15" hidden="1">
      <c r="A2" s="418"/>
      <c r="C2" s="232"/>
      <c r="D2" s="402"/>
      <c r="E2" s="729"/>
      <c r="F2" s="578"/>
      <c r="G2" s="672"/>
      <c r="H2" s="672"/>
      <c r="I2" s="672"/>
      <c r="J2" s="672"/>
      <c r="U2" s="730"/>
      <c r="V2" s="565">
        <v>0</v>
      </c>
    </row>
    <row s="2850" customFormat="1" customHeight="1" ht="15" hidden="1">
      <c r="C3" s="728"/>
      <c r="U3" s="476"/>
      <c r="V3" s="473">
        <v>0</v>
      </c>
    </row>
    <row customHeight="1" ht="15.75">
      <c r="C4" s="232"/>
      <c r="D4" s="565"/>
      <c r="E4" s="565"/>
      <c r="F4" s="565"/>
      <c r="G4" s="565"/>
      <c r="H4" s="565"/>
      <c r="I4" s="565"/>
      <c r="J4" s="565"/>
      <c r="V4" s="561">
        <v>15</v>
      </c>
    </row>
    <row customHeight="1" ht="66">
      <c r="C5" s="232"/>
      <c r="D5" s="2293" t="s">
        <v>1295</v>
      </c>
      <c r="E5" s="2293"/>
      <c r="F5" s="2293"/>
      <c r="G5" s="2293"/>
      <c r="H5" s="2293"/>
      <c r="I5" s="2293"/>
      <c r="J5" s="2293"/>
      <c r="V5" s="561">
        <v>63</v>
      </c>
    </row>
    <row customHeight="1" ht="15.75">
      <c r="C6" s="232"/>
      <c r="D6" s="2232" t="str">
        <f>IF(org=0,"Не определено",org)</f>
        <v>МУП ЖКХ "Родник"</v>
      </c>
      <c r="E6" s="2232"/>
      <c r="F6" s="2232"/>
      <c r="G6" s="2232"/>
      <c r="H6" s="2232"/>
      <c r="I6" s="2232"/>
      <c r="J6" s="2232"/>
      <c r="K6" s="593"/>
      <c r="V6" s="561">
        <v>15</v>
      </c>
    </row>
    <row customHeight="1" ht="15.75">
      <c r="C7" s="232"/>
      <c r="D7" s="808"/>
      <c r="E7" s="565"/>
      <c r="F7" s="565"/>
      <c r="G7" s="593">
        <v>22</v>
      </c>
      <c r="I7" s="593">
        <v>1</v>
      </c>
      <c r="J7" s="808"/>
      <c r="V7" s="561">
        <v>15</v>
      </c>
    </row>
    <row s="2774" customFormat="1" customHeight="1" ht="1.05">
      <c r="A8" s="815"/>
      <c r="C8" s="232"/>
      <c r="D8" s="565"/>
      <c r="E8" s="565"/>
      <c r="F8" s="565"/>
      <c r="G8" s="593"/>
      <c r="H8" s="808"/>
      <c r="I8" s="593" t="s">
        <v>196</v>
      </c>
      <c r="J8" s="808"/>
      <c r="K8" s="473"/>
      <c r="U8" s="731"/>
      <c r="V8" s="814">
        <v>1</v>
      </c>
    </row>
    <row customHeight="1" ht="15.75">
      <c r="C9" s="232"/>
      <c r="D9" s="767"/>
      <c r="E9" s="2423" t="s">
        <v>187</v>
      </c>
      <c r="F9" s="2424"/>
      <c r="G9" s="2451" t="str">
        <f>IF(G8="","",INDEX(DIFFERENTIATION_UNMERGE_VD,MATCH(G8,DIFFERENTIATION_ID_DIFF,0)))</f>
        <v/>
      </c>
      <c r="H9" s="2452"/>
      <c r="I9" s="2451">
        <f>IF(I8="","",INDEX(DIFFERENTIATION_UNMERGE_VD,MATCH(I8,DIFFERENTIATION_ID_DIFF,0)))</f>
        <v>0</v>
      </c>
      <c r="J9" s="2452"/>
      <c r="K9" s="2231" t="s">
        <v>433</v>
      </c>
      <c r="V9" s="561">
        <v>15</v>
      </c>
    </row>
    <row s="2774" customFormat="1" customHeight="1" ht="15.75">
      <c r="A10" s="815"/>
      <c r="C10" s="232"/>
      <c r="D10" s="767"/>
      <c r="E10" s="2423" t="s">
        <v>697</v>
      </c>
      <c r="F10" s="2424"/>
      <c r="G10" s="2451" t="str">
        <f>IF(G8="","",INDEX(DIFFERENTIATION_UNMERGE_AREA,MATCH(G8,DIFFERENTIATION_ID_DIFF,0)))</f>
        <v/>
      </c>
      <c r="H10" s="2452"/>
      <c r="I10" s="2451" t="str">
        <f>IF(I8="","",INDEX(DIFFERENTIATION_UNMERGE_AREA,MATCH(I8,DIFFERENTIATION_ID_DIFF,0)))</f>
        <v/>
      </c>
      <c r="J10" s="2452"/>
      <c r="K10" s="2255"/>
      <c r="U10" s="731"/>
      <c r="V10" s="814">
        <v>15</v>
      </c>
    </row>
    <row s="2774" customFormat="1" customHeight="1" ht="15.75">
      <c r="A11" s="815"/>
      <c r="C11" s="232"/>
      <c r="D11" s="767"/>
      <c r="E11" s="2423" t="s">
        <v>698</v>
      </c>
      <c r="F11" s="2424"/>
      <c r="G11" s="2451" t="str">
        <f>IF(G8="","",INDEX(DIFFERENTIATION_UNMERGE_SYSTEM,MATCH(G8,DIFFERENTIATION_ID_DIFF,0)))</f>
        <v/>
      </c>
      <c r="H11" s="2452"/>
      <c r="I11" s="2451" t="str">
        <f>IF(I8="","",INDEX(DIFFERENTIATION_UNMERGE_SYSTEM,MATCH(I8,DIFFERENTIATION_ID_DIFF,0)))</f>
        <v>без дифференциации</v>
      </c>
      <c r="J11" s="2452"/>
      <c r="K11" s="2255"/>
      <c r="U11" s="731"/>
      <c r="V11" s="814">
        <v>15</v>
      </c>
    </row>
    <row s="2774" customFormat="1" customHeight="1" ht="15.75">
      <c r="A12" s="815"/>
      <c r="C12" s="232"/>
      <c r="D12" s="2425" t="s">
        <v>432</v>
      </c>
      <c r="E12" s="2426"/>
      <c r="F12" s="2426"/>
      <c r="G12" s="943"/>
      <c r="H12" s="943"/>
      <c r="I12" s="943"/>
      <c r="J12" s="943"/>
      <c r="K12" s="2255"/>
      <c r="U12" s="731"/>
      <c r="V12" s="814">
        <v>15</v>
      </c>
    </row>
    <row customHeight="1" ht="35.699999999999996">
      <c r="C13" s="232"/>
      <c r="D13" s="861" t="s">
        <v>92</v>
      </c>
      <c r="E13" s="863" t="s">
        <v>434</v>
      </c>
      <c r="F13" s="863" t="s">
        <v>699</v>
      </c>
      <c r="G13" s="864" t="s">
        <v>435</v>
      </c>
      <c r="H13" s="863" t="s">
        <v>522</v>
      </c>
      <c r="I13" s="864" t="s">
        <v>435</v>
      </c>
      <c r="J13" s="863" t="s">
        <v>522</v>
      </c>
      <c r="K13" s="2288"/>
      <c r="V13" s="561">
        <v>34</v>
      </c>
    </row>
    <row customHeight="1" ht="15" hidden="1">
      <c r="C14" s="232"/>
      <c r="D14" s="649" t="s">
        <v>191</v>
      </c>
      <c r="E14" s="649" t="s">
        <v>108</v>
      </c>
      <c r="F14" s="649" t="s">
        <v>94</v>
      </c>
      <c r="G14" s="715" t="str">
        <f>G1&amp;".1"</f>
        <v>4.1</v>
      </c>
      <c r="H14" s="715"/>
      <c r="I14" s="715" t="str">
        <f>I1&amp;".1"</f>
        <v>4.1</v>
      </c>
      <c r="J14" s="715"/>
      <c r="K14" s="345"/>
      <c r="V14" s="561">
        <v>0</v>
      </c>
    </row>
    <row customHeight="1" ht="22.5" hidden="1">
      <c r="A15" s="561"/>
      <c r="C15" s="582"/>
      <c r="D15" s="577">
        <v>1</v>
      </c>
      <c r="E15" s="733" t="s">
        <v>941</v>
      </c>
      <c r="F15" s="577" t="s">
        <v>942</v>
      </c>
      <c r="G15" s="734"/>
      <c r="H15" s="734"/>
      <c r="I15" s="734"/>
      <c r="J15" s="734"/>
      <c r="K15" s="345" t="s">
        <v>943</v>
      </c>
      <c r="V15" s="561">
        <v>0</v>
      </c>
    </row>
    <row customHeight="1" ht="22.5" hidden="1">
      <c r="A16" s="561"/>
      <c r="C16" s="582"/>
      <c r="D16" s="577">
        <v>2</v>
      </c>
      <c r="E16" s="335" t="s">
        <v>944</v>
      </c>
      <c r="F16" s="577" t="s">
        <v>945</v>
      </c>
      <c r="G16" s="734"/>
      <c r="H16" s="734"/>
      <c r="I16" s="734"/>
      <c r="J16" s="734"/>
      <c r="K16" s="345" t="s">
        <v>946</v>
      </c>
      <c r="V16" s="561">
        <v>0</v>
      </c>
    </row>
    <row customHeight="1" ht="123.75" hidden="1">
      <c r="A17" s="561"/>
      <c r="C17" s="582"/>
      <c r="D17" s="577">
        <v>3</v>
      </c>
      <c r="E17" s="335" t="s">
        <v>1296</v>
      </c>
      <c r="F17" s="577" t="s">
        <v>438</v>
      </c>
      <c r="G17" s="734"/>
      <c r="H17" s="734"/>
      <c r="I17" s="734"/>
      <c r="J17" s="734"/>
      <c r="K17" s="345" t="s">
        <v>1297</v>
      </c>
      <c r="V17" s="561">
        <v>0</v>
      </c>
    </row>
    <row customHeight="1" ht="48.29999999999999">
      <c r="A18" s="561"/>
      <c r="C18" s="582"/>
      <c r="D18" s="577">
        <v>3</v>
      </c>
      <c r="E18" s="335" t="s">
        <v>947</v>
      </c>
      <c r="F18" s="577" t="s">
        <v>438</v>
      </c>
      <c r="G18" s="865" t="s">
        <v>438</v>
      </c>
      <c r="H18" s="866" t="s">
        <v>438</v>
      </c>
      <c r="I18" s="577" t="s">
        <v>438</v>
      </c>
      <c r="J18" s="634" t="s">
        <v>438</v>
      </c>
      <c r="K18" s="345" t="s">
        <v>1298</v>
      </c>
      <c r="V18" s="561">
        <v>46</v>
      </c>
    </row>
    <row customHeight="1" ht="35.699999999999996">
      <c r="A19" s="561"/>
      <c r="C19" s="582"/>
      <c r="D19" s="595" t="s">
        <v>456</v>
      </c>
      <c r="E19" s="615" t="s">
        <v>949</v>
      </c>
      <c r="F19" s="577" t="s">
        <v>950</v>
      </c>
      <c r="G19" s="873"/>
      <c r="H19" s="162"/>
      <c r="I19" s="873"/>
      <c r="J19" s="874"/>
      <c r="K19" s="735"/>
      <c r="V19" s="561">
        <v>34</v>
      </c>
    </row>
    <row customHeight="1" ht="35.699999999999996">
      <c r="A20" s="561"/>
      <c r="C20" s="582"/>
      <c r="D20" s="1946" t="s">
        <v>464</v>
      </c>
      <c r="E20" s="615" t="s">
        <v>951</v>
      </c>
      <c r="F20" s="577" t="s">
        <v>952</v>
      </c>
      <c r="G20" s="873"/>
      <c r="H20" s="162"/>
      <c r="I20" s="873"/>
      <c r="J20" s="162"/>
      <c r="K20" s="735"/>
      <c r="V20" s="561">
        <v>34</v>
      </c>
    </row>
    <row customHeight="1" ht="48.29999999999999">
      <c r="A21" s="561"/>
      <c r="C21" s="582"/>
      <c r="D21" s="1946" t="s">
        <v>466</v>
      </c>
      <c r="E21" s="615" t="s">
        <v>953</v>
      </c>
      <c r="F21" s="577" t="s">
        <v>704</v>
      </c>
      <c r="G21" s="736"/>
      <c r="H21" s="162"/>
      <c r="I21" s="736"/>
      <c r="J21" s="162"/>
      <c r="K21" s="735"/>
      <c r="V21" s="561">
        <v>46</v>
      </c>
    </row>
    <row customHeight="1" ht="67.5" hidden="1">
      <c r="A22" s="561"/>
      <c r="C22" s="582"/>
      <c r="D22" s="577">
        <v>5</v>
      </c>
      <c r="E22" s="335" t="s">
        <v>1299</v>
      </c>
      <c r="F22" s="577" t="s">
        <v>691</v>
      </c>
      <c r="G22" s="737"/>
      <c r="H22" s="738"/>
      <c r="I22" s="737"/>
      <c r="J22" s="738"/>
      <c r="K22" s="345" t="s">
        <v>1300</v>
      </c>
      <c r="V22" s="561">
        <v>0</v>
      </c>
    </row>
    <row customHeight="1" ht="33.75" hidden="1">
      <c r="C23" s="507"/>
      <c r="D23" s="577">
        <v>6</v>
      </c>
      <c r="E23" s="335" t="s">
        <v>1301</v>
      </c>
      <c r="F23" s="577" t="s">
        <v>1302</v>
      </c>
      <c r="G23" s="737"/>
      <c r="H23" s="737"/>
      <c r="I23" s="737"/>
      <c r="J23" s="737"/>
      <c r="K23" s="345" t="s">
        <v>1303</v>
      </c>
      <c r="V23" s="561">
        <v>0</v>
      </c>
    </row>
    <row customHeight="1" ht="15.75">
      <c r="V24" s="561">
        <v>15</v>
      </c>
    </row>
    <row customHeight="1" ht="15.75">
      <c r="V25" s="561">
        <v>15</v>
      </c>
    </row>
    <row customHeight="1" ht="15.75">
      <c r="V26" s="561">
        <v>15</v>
      </c>
    </row>
    <row customHeight="1" ht="15.75">
      <c r="V27" s="561">
        <v>15</v>
      </c>
    </row>
    <row customHeight="1" ht="15.75">
      <c r="V28" s="561">
        <v>15</v>
      </c>
    </row>
    <row customHeight="1" ht="15.75">
      <c r="J29" s="875"/>
      <c r="V29" s="561">
        <v>15</v>
      </c>
    </row>
    <row customHeight="1" ht="22.5" hidden="1">
      <c r="A30" s="505" t="s">
        <v>86</v>
      </c>
      <c r="B30" s="561">
        <v>0</v>
      </c>
      <c r="C30" s="739">
        <v>4</v>
      </c>
      <c r="D30" s="561">
        <v>6</v>
      </c>
      <c r="E30" s="561">
        <v>47</v>
      </c>
      <c r="F30" s="561">
        <v>9</v>
      </c>
      <c r="G30" s="814">
        <v>0</v>
      </c>
      <c r="H30" s="814">
        <v>0</v>
      </c>
      <c r="I30" s="561">
        <v>25</v>
      </c>
      <c r="J30" s="561">
        <v>33</v>
      </c>
      <c r="K30" s="473">
        <v>50</v>
      </c>
      <c r="L30" s="561">
        <v>10</v>
      </c>
      <c r="M30" s="561">
        <v>10</v>
      </c>
      <c r="N30" s="561">
        <v>10</v>
      </c>
      <c r="O30" s="561">
        <v>10</v>
      </c>
      <c r="P30" s="561">
        <v>10</v>
      </c>
      <c r="Q30" s="561">
        <v>10</v>
      </c>
      <c r="R30" s="561">
        <v>10</v>
      </c>
      <c r="S30" s="561">
        <v>10</v>
      </c>
      <c r="T30" s="561">
        <v>10</v>
      </c>
      <c r="U30" s="731">
        <v>10</v>
      </c>
      <c r="V30" s="561">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374F7EA-4391-126C-251B-3A70DA4C4BDC}"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873" width="32.57421875" customWidth="1"/>
    <col min="2" max="2" style="2911" width="11.00390625" customWidth="1"/>
    <col min="3" max="3" style="2911" width="9.140625"/>
    <col min="4" max="4" style="2911" width="26.57421875" customWidth="1"/>
    <col min="5" max="5" style="12959" width="36.8515625" customWidth="1"/>
    <col min="6" max="6" style="12959" width="23.57421875" customWidth="1"/>
    <col min="7" max="7" style="12959" width="31.421875" customWidth="1"/>
    <col min="8" max="8" style="12959" width="40.8515625" customWidth="1"/>
    <col min="9" max="9" style="12959" width="14.57421875" customWidth="1"/>
    <col min="10" max="10" style="12959" width="26.8515625" customWidth="1"/>
    <col min="11" max="11" style="12959" width="50.00390625" customWidth="1"/>
    <col min="12" max="12" style="12959" width="52.421875" customWidth="1"/>
    <col min="13" max="13" style="12959" width="10.7109375" customWidth="1"/>
    <col min="14" max="14" style="12959" width="55.140625" customWidth="1"/>
    <col min="15" max="15" style="12959" width="31.8515625" customWidth="1"/>
    <col min="16" max="16" style="12959" width="23.8515625" customWidth="1"/>
    <col min="17" max="17" style="12959" width="46.57421875" customWidth="1"/>
    <col min="18" max="18" style="12959" width="24.00390625" customWidth="1"/>
    <col min="19" max="19" style="12959" width="20.57421875" customWidth="1"/>
    <col min="20" max="20" style="12959" width="22.00390625" customWidth="1"/>
    <col min="21" max="22" style="12959" width="26.421875" customWidth="1"/>
    <col min="23" max="23" style="12959" width="8.28125" hidden="1" customWidth="1"/>
    <col min="24" max="24" style="12959" width="59.7109375" customWidth="1"/>
    <col min="25" max="25" style="12959" width="49.140625" customWidth="1"/>
    <col min="26" max="26" style="12959" width="11.140625" customWidth="1"/>
    <col min="27" max="30" style="12959" width="29.00390625" customWidth="1"/>
    <col min="31" max="31" style="12959" width="9.140625"/>
    <col min="32" max="32" style="12959" width="34.7109375" customWidth="1"/>
    <col min="33" max="33" style="12959" width="9.140625"/>
    <col min="34" max="35" style="12959" width="34.421875" customWidth="1"/>
    <col min="36" max="36" style="12959" width="9.140625"/>
    <col min="37" max="37" style="12959" width="24.57421875" customWidth="1"/>
    <col min="38" max="38" style="12959" width="9.140625"/>
    <col min="39" max="39" style="12959" width="26.140625" customWidth="1"/>
    <col min="40" max="40" style="12959" width="1.7109375" customWidth="1"/>
    <col min="41" max="41" style="12959" width="9.140625"/>
    <col min="42" max="43" style="12959" width="47.8515625" customWidth="1"/>
    <col min="44" max="44" style="12959" width="1.7109375" customWidth="1"/>
    <col min="45" max="45" style="12959" width="21.421875" customWidth="1"/>
    <col min="46" max="46" style="12959" width="1.7109375" customWidth="1"/>
    <col min="47" max="47" style="12959" width="31.28125" customWidth="1"/>
    <col min="48" max="48" style="12959" width="1.7109375" customWidth="1"/>
    <col min="49" max="50" style="12959" width="9.140625"/>
    <col min="51" max="51" style="12959" width="3.7109375" customWidth="1"/>
    <col min="52" max="52" style="12959" width="60.8515625" customWidth="1"/>
    <col min="53" max="53" style="12959" width="49.28125" customWidth="1"/>
    <col min="54" max="54" style="12959" width="35.140625" customWidth="1"/>
    <col min="55" max="55" style="12959" width="9.140625"/>
    <col min="56" max="56" style="12959" width="1.7109375" customWidth="1"/>
    <col min="57" max="57" style="13113" width="12.57421875" customWidth="1"/>
    <col min="58" max="58" style="13113" width="14.28125" customWidth="1"/>
    <col min="59" max="59" style="12959" width="30.7109375" customWidth="1"/>
    <col min="60" max="60" style="3174" width="40.7109375" customWidth="1"/>
    <col min="61" max="61" style="3174" width="15.00390625" customWidth="1"/>
    <col min="62" max="62" style="3174" width="40.7109375" customWidth="1"/>
    <col min="63" max="63" style="3174" width="2.7109375" customWidth="1"/>
    <col min="64" max="64" style="3174" width="44.7109375" customWidth="1"/>
    <col min="65" max="65" style="3174" width="2.7109375" customWidth="1"/>
    <col min="66" max="66" style="3174" width="40.7109375" customWidth="1"/>
    <col min="67" max="68" style="12959" width="9.140625"/>
    <col min="69" max="69" style="12959" width="18.140625" customWidth="1"/>
    <col min="70" max="70" style="12959" width="57.8515625" customWidth="1"/>
    <col min="71" max="71" style="12959" width="1.7109375" customWidth="1"/>
    <col min="72" max="72" style="12959" width="22.57421875" customWidth="1"/>
    <col min="73" max="73" style="12959" width="57.8515625" customWidth="1"/>
    <col min="74" max="74" style="12959" width="1.7109375" customWidth="1"/>
    <col min="75" max="75" style="12959" width="22.57421875" customWidth="1"/>
    <col min="76" max="76" style="12959" width="57.8515625" customWidth="1"/>
    <col min="77" max="77" style="12959" width="1.7109375" customWidth="1"/>
    <col min="78" max="78" style="12959" width="22.57421875" customWidth="1"/>
    <col min="79" max="79" style="12959" width="57.8515625" customWidth="1"/>
    <col min="80" max="81" style="12959" width="9.140625"/>
    <col min="82" max="82" style="12959" width="49.57421875" customWidth="1"/>
  </cols>
  <sheetData>
    <row s="13017" customFormat="1" customHeight="1" ht="11.25">
      <c r="A1" s="1123" t="s">
        <v>1304</v>
      </c>
      <c r="B1" s="1123" t="s">
        <v>1305</v>
      </c>
      <c r="C1" s="1123" t="s">
        <v>1306</v>
      </c>
      <c r="D1" s="1123" t="s">
        <v>1307</v>
      </c>
      <c r="E1" s="1123" t="s">
        <v>1308</v>
      </c>
      <c r="F1" s="1123" t="s">
        <v>1309</v>
      </c>
      <c r="G1" s="1123" t="s">
        <v>1310</v>
      </c>
      <c r="H1" s="1123" t="s">
        <v>1311</v>
      </c>
      <c r="I1" s="1123" t="s">
        <v>1312</v>
      </c>
      <c r="J1" s="1123" t="s">
        <v>1313</v>
      </c>
      <c r="K1" s="1123" t="s">
        <v>1314</v>
      </c>
      <c r="L1" s="1123" t="s">
        <v>1315</v>
      </c>
      <c r="M1" s="1123"/>
      <c r="N1" s="1123" t="s">
        <v>1316</v>
      </c>
      <c r="O1" s="1123" t="s">
        <v>1317</v>
      </c>
      <c r="P1" s="1123" t="s">
        <v>1318</v>
      </c>
      <c r="Q1" s="1123" t="s">
        <v>1319</v>
      </c>
      <c r="R1" s="1123" t="s">
        <v>1320</v>
      </c>
      <c r="S1" s="1123" t="s">
        <v>1321</v>
      </c>
      <c r="T1" s="1123" t="s">
        <v>1322</v>
      </c>
      <c r="U1" s="1123" t="s">
        <v>1323</v>
      </c>
      <c r="V1" s="1123"/>
      <c r="W1" s="853" t="s">
        <v>1324</v>
      </c>
      <c r="X1" s="1123" t="s">
        <v>1325</v>
      </c>
      <c r="Y1" s="1123" t="s">
        <v>1326</v>
      </c>
      <c r="Z1" s="1123"/>
      <c r="AA1" s="1123" t="s">
        <v>1327</v>
      </c>
      <c r="AB1" s="1123"/>
      <c r="AC1" s="1123" t="s">
        <v>1328</v>
      </c>
      <c r="AD1" s="1123"/>
      <c r="AF1" s="1123" t="s">
        <v>1329</v>
      </c>
      <c r="AH1" s="1123" t="s">
        <v>1330</v>
      </c>
      <c r="AI1" s="1123" t="s">
        <v>1331</v>
      </c>
      <c r="AK1" s="1123" t="s">
        <v>1332</v>
      </c>
      <c r="AM1" s="1123" t="s">
        <v>1333</v>
      </c>
      <c r="AP1" s="1123" t="s">
        <v>1334</v>
      </c>
      <c r="AQ1" s="1123" t="s">
        <v>1335</v>
      </c>
      <c r="AS1" s="1123" t="s">
        <v>1336</v>
      </c>
      <c r="AU1" s="1123" t="s">
        <v>1337</v>
      </c>
      <c r="AW1" s="1123" t="s">
        <v>1338</v>
      </c>
      <c r="AX1" s="1123" t="s">
        <v>1339</v>
      </c>
      <c r="AZ1" s="1208" t="s">
        <v>1340</v>
      </c>
      <c r="BB1" s="1123" t="s">
        <v>1341</v>
      </c>
      <c r="BC1" s="1123"/>
      <c r="BE1" s="1123" t="s">
        <v>1342</v>
      </c>
      <c r="BF1" s="1123" t="s">
        <v>1343</v>
      </c>
      <c r="BH1" s="1125" t="s">
        <v>940</v>
      </c>
      <c r="BI1" s="1126"/>
      <c r="BJ1" s="1127" t="s">
        <v>1344</v>
      </c>
      <c r="BK1" s="1126"/>
      <c r="BL1" s="1128" t="s">
        <v>1039</v>
      </c>
      <c r="BM1" s="1126"/>
      <c r="BN1" s="1129" t="s">
        <v>1345</v>
      </c>
      <c r="BS1" s="1483"/>
    </row>
    <row customHeight="1" ht="11.25">
      <c r="A2" s="1130" t="s">
        <v>1346</v>
      </c>
      <c r="B2" s="1131">
        <v>2000</v>
      </c>
      <c r="C2" s="1131">
        <v>2022</v>
      </c>
      <c r="D2" s="1131" t="s">
        <v>65</v>
      </c>
      <c r="E2" s="1132" t="s">
        <v>1347</v>
      </c>
      <c r="F2" s="1132" t="s">
        <v>1348</v>
      </c>
      <c r="G2" s="1132" t="s">
        <v>1349</v>
      </c>
      <c r="H2" s="1133" t="s">
        <v>1350</v>
      </c>
      <c r="I2" s="1132" t="s">
        <v>191</v>
      </c>
      <c r="J2" s="1132" t="s">
        <v>1351</v>
      </c>
      <c r="K2" s="1134" t="s">
        <v>1352</v>
      </c>
      <c r="L2" s="1135"/>
      <c r="M2" s="1134">
        <v>1</v>
      </c>
      <c r="N2" s="1218" t="s">
        <v>1353</v>
      </c>
      <c r="O2" s="1133" t="s">
        <v>1354</v>
      </c>
      <c r="P2" s="1136" t="s">
        <v>1355</v>
      </c>
      <c r="Q2" s="1137" t="s">
        <v>1356</v>
      </c>
      <c r="R2" s="199" t="s">
        <v>1357</v>
      </c>
      <c r="S2" s="199" t="s">
        <v>1358</v>
      </c>
      <c r="T2" s="1138" t="s">
        <v>1359</v>
      </c>
      <c r="U2" s="1135" t="s">
        <v>1360</v>
      </c>
      <c r="V2" s="1139">
        <v>1</v>
      </c>
      <c r="W2" s="1140"/>
      <c r="X2" s="1140" t="s">
        <v>1361</v>
      </c>
      <c r="Y2" s="1131" t="s">
        <v>1362</v>
      </c>
      <c r="Z2" s="1141"/>
      <c r="AA2" s="1131" t="s">
        <v>1363</v>
      </c>
      <c r="AB2" s="1142" t="s">
        <v>1363</v>
      </c>
      <c r="AC2" s="1131" t="s">
        <v>1364</v>
      </c>
      <c r="AD2" s="1142" t="s">
        <v>1364</v>
      </c>
      <c r="AF2" s="1133" t="s">
        <v>1360</v>
      </c>
      <c r="AH2" s="1132" t="s">
        <v>1365</v>
      </c>
      <c r="AI2" s="1132" t="s">
        <v>1365</v>
      </c>
      <c r="AK2" s="1132" t="s">
        <v>1366</v>
      </c>
      <c r="AM2" s="1132" t="s">
        <v>1367</v>
      </c>
      <c r="AP2" s="1143" t="s">
        <v>1361</v>
      </c>
      <c r="AQ2" s="1144" t="s">
        <v>1361</v>
      </c>
      <c r="AS2" s="1131" t="s">
        <v>1368</v>
      </c>
      <c r="AU2" s="1176" t="s">
        <v>1369</v>
      </c>
      <c r="AW2" s="1176" t="s">
        <v>1370</v>
      </c>
      <c r="AX2" s="1176" t="s">
        <v>1370</v>
      </c>
      <c r="AZ2" s="1176" t="s">
        <v>1371</v>
      </c>
      <c r="BB2" s="1176" t="s">
        <v>1372</v>
      </c>
      <c r="BC2" s="1176" t="s">
        <v>1373</v>
      </c>
      <c r="BE2" s="1176">
        <v>2000</v>
      </c>
      <c r="BF2" s="1176" t="s">
        <v>1374</v>
      </c>
    </row>
    <row customHeight="1" ht="11.25">
      <c r="A3" s="1130" t="s">
        <v>1375</v>
      </c>
      <c r="B3" s="1131">
        <v>2001</v>
      </c>
      <c r="C3" s="1131">
        <v>2023</v>
      </c>
      <c r="D3" s="1131" t="s">
        <v>19</v>
      </c>
      <c r="E3" s="1132" t="s">
        <v>1376</v>
      </c>
      <c r="F3" s="1132" t="s">
        <v>1377</v>
      </c>
      <c r="G3" s="1132" t="s">
        <v>1378</v>
      </c>
      <c r="H3" s="1133" t="s">
        <v>59</v>
      </c>
      <c r="I3" s="1132" t="s">
        <v>108</v>
      </c>
      <c r="J3" s="1132" t="s">
        <v>689</v>
      </c>
      <c r="K3" s="1134" t="s">
        <v>1379</v>
      </c>
      <c r="L3" s="1135">
        <f>_xlfn.IFERROR(MATCH(K3,OFFER_METHOD,0),0)</f>
        <v>0</v>
      </c>
      <c r="M3" s="1134">
        <v>2</v>
      </c>
      <c r="N3" s="1218" t="s">
        <v>1380</v>
      </c>
      <c r="O3" s="1133" t="s">
        <v>1381</v>
      </c>
      <c r="P3" s="1136" t="s">
        <v>37</v>
      </c>
      <c r="Q3" s="1137" t="s">
        <v>1382</v>
      </c>
      <c r="R3" s="199" t="s">
        <v>626</v>
      </c>
      <c r="S3" s="199" t="s">
        <v>1383</v>
      </c>
      <c r="T3" s="1138" t="s">
        <v>1384</v>
      </c>
      <c r="U3" s="1135" t="s">
        <v>1385</v>
      </c>
      <c r="V3" s="1139">
        <v>2</v>
      </c>
      <c r="W3" s="1140"/>
      <c r="X3" s="1140" t="s">
        <v>1386</v>
      </c>
      <c r="Y3" s="1131" t="s">
        <v>1362</v>
      </c>
      <c r="Z3" s="1141"/>
      <c r="AA3" s="1131" t="s">
        <v>1387</v>
      </c>
      <c r="AB3" s="1142" t="s">
        <v>1387</v>
      </c>
      <c r="AC3" s="1131" t="s">
        <v>1388</v>
      </c>
      <c r="AD3" s="1142" t="s">
        <v>1388</v>
      </c>
      <c r="AF3" s="1133" t="s">
        <v>1385</v>
      </c>
      <c r="AH3" s="1132" t="s">
        <v>1389</v>
      </c>
      <c r="AI3" s="1132" t="s">
        <v>1390</v>
      </c>
      <c r="AK3" s="1132" t="s">
        <v>1391</v>
      </c>
      <c r="AM3" s="1132" t="s">
        <v>1392</v>
      </c>
      <c r="AP3" s="1143" t="s">
        <v>1393</v>
      </c>
      <c r="AQ3" s="1144" t="s">
        <v>1393</v>
      </c>
      <c r="AS3" s="1131" t="s">
        <v>1394</v>
      </c>
      <c r="AU3" s="1176" t="s">
        <v>1395</v>
      </c>
      <c r="AW3" s="1176" t="s">
        <v>1396</v>
      </c>
      <c r="AX3" s="1176" t="s">
        <v>1396</v>
      </c>
      <c r="AZ3" s="1176" t="s">
        <v>1397</v>
      </c>
      <c r="BB3" s="1176" t="s">
        <v>1398</v>
      </c>
      <c r="BC3" s="1176" t="s">
        <v>1373</v>
      </c>
      <c r="BE3" s="1176">
        <v>2001</v>
      </c>
      <c r="BF3" s="1176" t="s">
        <v>1399</v>
      </c>
      <c r="BH3" s="1123" t="s">
        <v>1400</v>
      </c>
      <c r="BJ3" s="1123" t="s">
        <v>1401</v>
      </c>
      <c r="BL3" s="1123" t="s">
        <v>1402</v>
      </c>
      <c r="BN3" s="1123" t="s">
        <v>1403</v>
      </c>
      <c r="BR3" s="1123" t="s">
        <v>1404</v>
      </c>
      <c r="BS3" s="1484"/>
      <c r="BT3" s="1126"/>
      <c r="BU3" s="1123" t="s">
        <v>1405</v>
      </c>
      <c r="BV3" s="1126"/>
      <c r="BW3" s="1746"/>
      <c r="BX3" s="1748" t="s">
        <v>1406</v>
      </c>
      <c r="CA3" s="1123" t="s">
        <v>1407</v>
      </c>
    </row>
    <row customHeight="1" ht="11.25">
      <c r="A4" s="1130" t="s">
        <v>1408</v>
      </c>
      <c r="B4" s="1131">
        <v>2002</v>
      </c>
      <c r="C4" s="1131">
        <v>2024</v>
      </c>
      <c r="E4" s="1132" t="s">
        <v>1409</v>
      </c>
      <c r="F4" s="1132" t="s">
        <v>1410</v>
      </c>
      <c r="H4" s="1133" t="s">
        <v>1411</v>
      </c>
      <c r="I4" s="1132" t="s">
        <v>94</v>
      </c>
      <c r="J4" s="1132" t="s">
        <v>1412</v>
      </c>
      <c r="K4" s="1134" t="s">
        <v>1413</v>
      </c>
      <c r="L4" s="1135">
        <f>_xlfn.IFERROR(MATCH(K4,OFFER_METHOD,0),0)</f>
        <v>0</v>
      </c>
      <c r="M4" s="1134">
        <v>3</v>
      </c>
      <c r="N4" s="1218" t="s">
        <v>1414</v>
      </c>
      <c r="O4" s="1132" t="s">
        <v>1415</v>
      </c>
      <c r="Q4" s="1137" t="s">
        <v>1416</v>
      </c>
      <c r="R4" s="199" t="s">
        <v>1417</v>
      </c>
      <c r="S4" s="199" t="s">
        <v>1418</v>
      </c>
      <c r="T4" s="1138" t="s">
        <v>1419</v>
      </c>
      <c r="U4" s="1135" t="s">
        <v>1420</v>
      </c>
      <c r="V4" s="1139">
        <v>3</v>
      </c>
      <c r="W4" s="1140"/>
      <c r="X4" s="1140" t="s">
        <v>1421</v>
      </c>
      <c r="Y4" s="1131" t="s">
        <v>1362</v>
      </c>
      <c r="Z4" s="1147"/>
      <c r="AC4" s="1131" t="s">
        <v>1422</v>
      </c>
      <c r="AD4" s="1142" t="s">
        <v>1422</v>
      </c>
      <c r="AF4" s="1133" t="s">
        <v>1420</v>
      </c>
      <c r="AH4" s="1133" t="s">
        <v>1423</v>
      </c>
      <c r="AK4" s="1132" t="s">
        <v>1424</v>
      </c>
      <c r="AM4" s="1132" t="s">
        <v>1425</v>
      </c>
      <c r="AP4" s="1143" t="s">
        <v>1386</v>
      </c>
      <c r="AQ4" s="1144" t="s">
        <v>1386</v>
      </c>
      <c r="AS4" s="1131" t="s">
        <v>1426</v>
      </c>
      <c r="AU4" s="1176" t="s">
        <v>1427</v>
      </c>
      <c r="AW4" s="1176" t="s">
        <v>1428</v>
      </c>
      <c r="AX4" s="1176" t="s">
        <v>1428</v>
      </c>
      <c r="AZ4" s="1176" t="s">
        <v>1429</v>
      </c>
      <c r="BB4" s="1176" t="s">
        <v>1430</v>
      </c>
      <c r="BC4" s="1176" t="s">
        <v>1431</v>
      </c>
      <c r="BE4" s="1176">
        <v>2002</v>
      </c>
      <c r="BF4" s="1176" t="s">
        <v>1432</v>
      </c>
      <c r="BH4" s="1124" t="s">
        <v>1433</v>
      </c>
      <c r="BJ4" s="1124" t="s">
        <v>1433</v>
      </c>
      <c r="BL4" s="1124" t="s">
        <v>1433</v>
      </c>
      <c r="BN4" s="1124" t="s">
        <v>1433</v>
      </c>
      <c r="BQ4" s="1488" t="s">
        <v>1434</v>
      </c>
      <c r="BR4" s="1215" t="s">
        <v>1435</v>
      </c>
      <c r="BS4" s="330"/>
      <c r="BT4" s="1488" t="s">
        <v>1436</v>
      </c>
      <c r="BU4" s="1215" t="s">
        <v>1437</v>
      </c>
      <c r="BV4" s="1126"/>
      <c r="BW4" s="1753" t="s">
        <v>1438</v>
      </c>
      <c r="BX4" s="1747" t="s">
        <v>1439</v>
      </c>
      <c r="BZ4" s="1488" t="s">
        <v>1440</v>
      </c>
      <c r="CA4" s="1215" t="s">
        <v>1441</v>
      </c>
    </row>
    <row customHeight="1" ht="11.25">
      <c r="A5" s="1130" t="s">
        <v>1442</v>
      </c>
      <c r="B5" s="1131">
        <v>2003</v>
      </c>
      <c r="C5" s="1131">
        <v>2025</v>
      </c>
      <c r="E5" s="1132" t="s">
        <v>1443</v>
      </c>
      <c r="F5" s="1132" t="s">
        <v>1444</v>
      </c>
      <c r="H5" s="1133" t="s">
        <v>1445</v>
      </c>
      <c r="I5" s="1132" t="s">
        <v>95</v>
      </c>
      <c r="K5" s="1134" t="s">
        <v>1446</v>
      </c>
      <c r="L5" s="1135">
        <f>_xlfn.IFERROR(MATCH(K5,OFFER_METHOD,0),0)</f>
        <v>0</v>
      </c>
      <c r="M5" s="1134">
        <v>4</v>
      </c>
      <c r="N5" s="1148" t="s">
        <v>1447</v>
      </c>
      <c r="O5" s="1132" t="s">
        <v>1448</v>
      </c>
      <c r="Q5" s="1137" t="s">
        <v>1449</v>
      </c>
      <c r="R5" s="199" t="s">
        <v>627</v>
      </c>
      <c r="T5" s="1133" t="s">
        <v>1450</v>
      </c>
      <c r="U5" s="1135" t="s">
        <v>1451</v>
      </c>
      <c r="V5" s="1139">
        <v>4</v>
      </c>
      <c r="W5" s="1140"/>
      <c r="X5" s="1140" t="s">
        <v>239</v>
      </c>
      <c r="Y5" s="1131" t="s">
        <v>1452</v>
      </c>
      <c r="Z5" s="1147">
        <v>1</v>
      </c>
      <c r="AF5" s="1133" t="s">
        <v>1453</v>
      </c>
      <c r="AH5" s="1132" t="s">
        <v>1454</v>
      </c>
      <c r="AK5" s="1132" t="s">
        <v>1455</v>
      </c>
      <c r="AM5" s="1132" t="s">
        <v>1456</v>
      </c>
      <c r="AP5" s="1143" t="s">
        <v>239</v>
      </c>
      <c r="AQ5" s="1144" t="s">
        <v>239</v>
      </c>
      <c r="AU5" s="1176" t="s">
        <v>1457</v>
      </c>
      <c r="AW5" s="1176" t="s">
        <v>1458</v>
      </c>
      <c r="AX5" s="1176" t="s">
        <v>1458</v>
      </c>
      <c r="AZ5" s="1176" t="s">
        <v>1459</v>
      </c>
      <c r="BB5" s="1176" t="s">
        <v>1460</v>
      </c>
      <c r="BC5" s="1176" t="s">
        <v>1461</v>
      </c>
      <c r="BE5" s="1176">
        <v>2003</v>
      </c>
      <c r="BF5" s="1176" t="s">
        <v>1462</v>
      </c>
      <c r="BH5" s="1124" t="s">
        <v>1463</v>
      </c>
      <c r="BJ5" s="1124" t="s">
        <v>1463</v>
      </c>
      <c r="BL5" s="1124" t="s">
        <v>1463</v>
      </c>
      <c r="BN5" s="1124" t="s">
        <v>1464</v>
      </c>
      <c r="BQ5" s="1337">
        <v>4213775</v>
      </c>
      <c r="BR5" s="1124" t="s">
        <v>1361</v>
      </c>
      <c r="BS5" s="1485"/>
      <c r="BT5" s="1337">
        <v>64236871</v>
      </c>
      <c r="BU5" s="1124" t="s">
        <v>361</v>
      </c>
      <c r="BV5" s="1126"/>
      <c r="BW5" s="1751">
        <v>4213767</v>
      </c>
      <c r="BX5" s="1749" t="s">
        <v>1465</v>
      </c>
      <c r="BZ5" s="1337">
        <v>64237509</v>
      </c>
      <c r="CA5" s="1351" t="s">
        <v>1466</v>
      </c>
    </row>
    <row customHeight="1" ht="11.25">
      <c r="A6" s="1130" t="s">
        <v>1467</v>
      </c>
      <c r="B6" s="1131">
        <v>2004</v>
      </c>
      <c r="C6" s="1131">
        <v>2026</v>
      </c>
      <c r="E6" s="1132" t="s">
        <v>1468</v>
      </c>
      <c r="F6" s="1149"/>
      <c r="H6" s="1133" t="s">
        <v>1469</v>
      </c>
      <c r="I6" s="1132" t="s">
        <v>122</v>
      </c>
      <c r="J6" s="1123" t="s">
        <v>1470</v>
      </c>
      <c r="L6" s="1135">
        <f>SUM(kind_of_control_method_filter)</f>
        <v>0</v>
      </c>
      <c r="N6" s="1148" t="s">
        <v>1471</v>
      </c>
      <c r="O6" s="1132" t="s">
        <v>1472</v>
      </c>
      <c r="R6" s="199" t="s">
        <v>1356</v>
      </c>
      <c r="T6" s="1133" t="s">
        <v>1473</v>
      </c>
      <c r="U6" s="1135" t="s">
        <v>1453</v>
      </c>
      <c r="V6" s="1139">
        <v>5</v>
      </c>
      <c r="W6" s="1140"/>
      <c r="X6" s="1131" t="s">
        <v>245</v>
      </c>
      <c r="Y6" s="1131" t="s">
        <v>1474</v>
      </c>
      <c r="Z6" s="1147"/>
      <c r="AA6" s="1150"/>
      <c r="AH6" s="1132" t="s">
        <v>1475</v>
      </c>
      <c r="AK6" s="1132" t="s">
        <v>1476</v>
      </c>
      <c r="AM6" s="1132" t="s">
        <v>1477</v>
      </c>
      <c r="AP6" s="1143" t="s">
        <v>245</v>
      </c>
      <c r="AQ6" s="1144" t="s">
        <v>245</v>
      </c>
      <c r="AU6" s="1176" t="s">
        <v>1478</v>
      </c>
      <c r="AW6" s="1176" t="s">
        <v>1479</v>
      </c>
      <c r="AX6" s="1176" t="s">
        <v>1479</v>
      </c>
      <c r="BB6" s="1176" t="s">
        <v>1480</v>
      </c>
      <c r="BC6" s="1176" t="s">
        <v>1461</v>
      </c>
      <c r="BE6" s="1176">
        <v>2004</v>
      </c>
      <c r="BF6" s="1176" t="s">
        <v>1481</v>
      </c>
      <c r="BH6" s="1124" t="s">
        <v>1482</v>
      </c>
      <c r="BJ6" s="1124" t="s">
        <v>1483</v>
      </c>
      <c r="BL6" s="1124" t="s">
        <v>1483</v>
      </c>
      <c r="BN6" s="1124" t="s">
        <v>1484</v>
      </c>
      <c r="BQ6" s="1337">
        <v>4213784</v>
      </c>
      <c r="BR6" s="1351" t="s">
        <v>1393</v>
      </c>
      <c r="BS6" s="1486"/>
      <c r="BT6" s="1337">
        <v>64236872</v>
      </c>
      <c r="BU6" s="1124" t="s">
        <v>366</v>
      </c>
      <c r="BV6" s="1126"/>
      <c r="BW6" s="1751">
        <v>4213768</v>
      </c>
      <c r="BX6" s="1749" t="s">
        <v>386</v>
      </c>
      <c r="BZ6" s="1337">
        <v>64237510</v>
      </c>
      <c r="CA6" s="1124" t="s">
        <v>1485</v>
      </c>
    </row>
    <row customHeight="1" ht="11.25">
      <c r="A7" s="1130" t="s">
        <v>1486</v>
      </c>
      <c r="B7" s="1131">
        <v>2005</v>
      </c>
      <c r="E7" s="1132" t="s">
        <v>1487</v>
      </c>
      <c r="F7" s="1149"/>
      <c r="H7" s="1133" t="s">
        <v>1488</v>
      </c>
      <c r="I7" s="1132" t="s">
        <v>96</v>
      </c>
      <c r="J7" s="1132" t="s">
        <v>1489</v>
      </c>
      <c r="N7" s="1152" t="s">
        <v>1490</v>
      </c>
      <c r="O7" s="1132" t="s">
        <v>1491</v>
      </c>
      <c r="U7" s="1135" t="s">
        <v>19</v>
      </c>
      <c r="V7" s="426" t="s">
        <v>96</v>
      </c>
      <c r="W7" s="1140"/>
      <c r="X7" s="1131" t="s">
        <v>251</v>
      </c>
      <c r="Y7" s="1131" t="s">
        <v>1452</v>
      </c>
      <c r="Z7" s="1147"/>
      <c r="AA7" s="1150"/>
      <c r="AH7" s="1132" t="s">
        <v>1492</v>
      </c>
      <c r="AK7" s="1132" t="s">
        <v>1493</v>
      </c>
      <c r="AM7" s="1132" t="s">
        <v>1494</v>
      </c>
      <c r="AP7" s="1143" t="s">
        <v>251</v>
      </c>
      <c r="AQ7" s="1144" t="s">
        <v>251</v>
      </c>
      <c r="AU7" s="1176" t="s">
        <v>1495</v>
      </c>
      <c r="AW7" s="1176" t="s">
        <v>1496</v>
      </c>
      <c r="AX7" s="1176" t="s">
        <v>1496</v>
      </c>
      <c r="AZ7" s="1123" t="s">
        <v>1497</v>
      </c>
      <c r="BB7" s="1176" t="s">
        <v>1498</v>
      </c>
      <c r="BC7" s="1176" t="s">
        <v>1461</v>
      </c>
      <c r="BE7" s="1176">
        <v>2005</v>
      </c>
      <c r="BF7" s="1176" t="s">
        <v>1499</v>
      </c>
      <c r="BH7" s="1124" t="s">
        <v>1500</v>
      </c>
      <c r="BJ7" s="1124" t="s">
        <v>1482</v>
      </c>
      <c r="BL7" s="1124" t="s">
        <v>1482</v>
      </c>
      <c r="BN7" s="1124" t="s">
        <v>1501</v>
      </c>
      <c r="BQ7" s="1337">
        <v>4213781</v>
      </c>
      <c r="BR7" s="1124" t="s">
        <v>1386</v>
      </c>
      <c r="BS7" s="1485"/>
      <c r="BT7" s="1337">
        <v>64236873</v>
      </c>
      <c r="BU7" s="1124" t="s">
        <v>371</v>
      </c>
      <c r="BV7" s="1126"/>
      <c r="BW7" s="1751">
        <v>4213769</v>
      </c>
      <c r="BX7" s="1749" t="s">
        <v>1502</v>
      </c>
      <c r="BZ7" s="1337">
        <v>64237511</v>
      </c>
      <c r="CA7" s="1124" t="s">
        <v>401</v>
      </c>
    </row>
    <row customHeight="1" ht="11.25">
      <c r="A8" s="1130" t="s">
        <v>1503</v>
      </c>
      <c r="B8" s="1131">
        <v>2006</v>
      </c>
      <c r="E8" s="1132" t="s">
        <v>1504</v>
      </c>
      <c r="F8" s="1149"/>
      <c r="H8" s="1133" t="s">
        <v>1505</v>
      </c>
      <c r="I8" s="1132" t="s">
        <v>97</v>
      </c>
      <c r="J8" s="1132" t="s">
        <v>1506</v>
      </c>
      <c r="N8" s="1219" t="s">
        <v>1507</v>
      </c>
      <c r="O8" s="1132" t="s">
        <v>1508</v>
      </c>
      <c r="V8" s="426" t="s">
        <v>97</v>
      </c>
      <c r="W8" s="1140"/>
      <c r="X8" s="1131" t="s">
        <v>257</v>
      </c>
      <c r="Y8" s="1131" t="s">
        <v>1452</v>
      </c>
      <c r="Z8" s="1147"/>
      <c r="AA8" s="1150"/>
      <c r="AK8" s="1132" t="s">
        <v>1509</v>
      </c>
      <c r="AP8" s="1143" t="s">
        <v>257</v>
      </c>
      <c r="AQ8" s="1144" t="s">
        <v>257</v>
      </c>
      <c r="AU8" s="1176" t="s">
        <v>1510</v>
      </c>
      <c r="AW8" s="1176" t="s">
        <v>1511</v>
      </c>
      <c r="AX8" s="1176" t="s">
        <v>1511</v>
      </c>
      <c r="AZ8" s="1176" t="s">
        <v>1512</v>
      </c>
      <c r="BB8" s="1176" t="s">
        <v>1513</v>
      </c>
      <c r="BC8" s="1176" t="s">
        <v>1461</v>
      </c>
      <c r="BE8" s="1176">
        <v>2006</v>
      </c>
      <c r="BF8" s="1176" t="s">
        <v>1514</v>
      </c>
      <c r="BH8" s="1124" t="s">
        <v>1515</v>
      </c>
      <c r="BJ8" s="1124" t="s">
        <v>1516</v>
      </c>
      <c r="BL8" s="1124" t="s">
        <v>1516</v>
      </c>
      <c r="BN8" s="1124" t="s">
        <v>1517</v>
      </c>
      <c r="BQ8" s="1337">
        <v>4213776</v>
      </c>
      <c r="BR8" s="1124" t="s">
        <v>239</v>
      </c>
      <c r="BS8" s="1485"/>
      <c r="BT8" s="1337">
        <v>64236874</v>
      </c>
      <c r="BU8" s="1351" t="s">
        <v>1518</v>
      </c>
      <c r="BV8" s="1126"/>
      <c r="BW8" s="1751">
        <v>4213770</v>
      </c>
      <c r="BX8" s="1752" t="s">
        <v>1519</v>
      </c>
      <c r="BZ8" s="1337">
        <v>64237512</v>
      </c>
      <c r="CA8" s="1124" t="s">
        <v>396</v>
      </c>
    </row>
    <row customHeight="1" ht="11.25">
      <c r="A9" s="1130" t="s">
        <v>1520</v>
      </c>
      <c r="B9" s="1131">
        <v>2007</v>
      </c>
      <c r="E9" s="1132" t="s">
        <v>1521</v>
      </c>
      <c r="F9" s="1149"/>
      <c r="G9" s="1123" t="s">
        <v>1522</v>
      </c>
      <c r="H9" s="1123" t="s">
        <v>1523</v>
      </c>
      <c r="I9" s="1132" t="s">
        <v>135</v>
      </c>
      <c r="O9" s="1132" t="s">
        <v>1524</v>
      </c>
      <c r="V9" s="426" t="s">
        <v>135</v>
      </c>
      <c r="W9" s="1140"/>
      <c r="X9" s="1131" t="s">
        <v>263</v>
      </c>
      <c r="Y9" s="1131" t="s">
        <v>1362</v>
      </c>
      <c r="Z9" s="1147">
        <v>1</v>
      </c>
      <c r="AA9" s="1150"/>
      <c r="AK9" s="1132" t="s">
        <v>1525</v>
      </c>
      <c r="AP9" s="1143" t="s">
        <v>1526</v>
      </c>
      <c r="AQ9" s="1144" t="s">
        <v>1526</v>
      </c>
      <c r="AW9" s="1176" t="s">
        <v>1527</v>
      </c>
      <c r="AX9" s="1176" t="s">
        <v>1527</v>
      </c>
      <c r="AZ9" s="1176" t="s">
        <v>1528</v>
      </c>
      <c r="BB9" s="1176" t="s">
        <v>1529</v>
      </c>
      <c r="BC9" s="1176" t="s">
        <v>1461</v>
      </c>
      <c r="BE9" s="1176">
        <v>2007</v>
      </c>
      <c r="BF9" s="1176" t="s">
        <v>1530</v>
      </c>
      <c r="BH9" s="1124" t="s">
        <v>1531</v>
      </c>
      <c r="BJ9" s="1124" t="s">
        <v>1532</v>
      </c>
      <c r="BL9" s="1124" t="s">
        <v>1532</v>
      </c>
      <c r="BN9" s="1124" t="s">
        <v>1533</v>
      </c>
      <c r="BQ9" s="1337">
        <v>4213777</v>
      </c>
      <c r="BR9" s="1124" t="s">
        <v>245</v>
      </c>
      <c r="BS9" s="1485"/>
      <c r="BT9" s="1337">
        <v>64236875</v>
      </c>
      <c r="BU9" s="1124" t="s">
        <v>376</v>
      </c>
      <c r="BV9" s="1126"/>
      <c r="BW9" s="1746"/>
      <c r="BX9" s="1746"/>
    </row>
    <row customHeight="1" ht="11.25">
      <c r="A10" s="1130" t="s">
        <v>1534</v>
      </c>
      <c r="B10" s="1131">
        <v>2008</v>
      </c>
      <c r="E10" s="1132" t="s">
        <v>1535</v>
      </c>
      <c r="F10" s="1149"/>
      <c r="G10" s="1132" t="s">
        <v>1536</v>
      </c>
      <c r="H10" s="1132" t="s">
        <v>1537</v>
      </c>
      <c r="I10" s="1132" t="s">
        <v>140</v>
      </c>
      <c r="J10" s="1123" t="s">
        <v>1538</v>
      </c>
      <c r="K10" s="1123" t="s">
        <v>1539</v>
      </c>
      <c r="O10" s="1132" t="s">
        <v>1540</v>
      </c>
      <c r="V10" s="427" t="s">
        <v>140</v>
      </c>
      <c r="W10" s="1153"/>
      <c r="X10" s="1153" t="s">
        <v>1541</v>
      </c>
      <c r="Y10" s="1154" t="s">
        <v>1542</v>
      </c>
      <c r="Z10" s="1147"/>
      <c r="AP10" s="1143" t="s">
        <v>1541</v>
      </c>
      <c r="AQ10" s="1144" t="s">
        <v>1541</v>
      </c>
      <c r="AW10" s="1176" t="s">
        <v>1543</v>
      </c>
      <c r="AX10" s="1176" t="s">
        <v>1543</v>
      </c>
      <c r="AZ10" s="1176" t="s">
        <v>1544</v>
      </c>
      <c r="BB10" s="1176" t="s">
        <v>1545</v>
      </c>
      <c r="BC10" s="1176" t="s">
        <v>1461</v>
      </c>
      <c r="BE10" s="1176">
        <v>2008</v>
      </c>
      <c r="BF10" s="1176" t="s">
        <v>1546</v>
      </c>
      <c r="BH10" s="1124" t="s">
        <v>1547</v>
      </c>
      <c r="BJ10" s="1124" t="s">
        <v>1548</v>
      </c>
      <c r="BL10" s="1124" t="s">
        <v>1548</v>
      </c>
      <c r="BN10" s="1124" t="s">
        <v>1549</v>
      </c>
      <c r="BQ10" s="1337">
        <v>4213778</v>
      </c>
      <c r="BR10" s="1124" t="s">
        <v>251</v>
      </c>
      <c r="BS10" s="1485"/>
      <c r="BT10" s="1337">
        <v>64236876</v>
      </c>
      <c r="BU10" s="1124" t="s">
        <v>295</v>
      </c>
      <c r="BV10" s="1126"/>
      <c r="BW10" s="1746"/>
      <c r="BX10" s="1746"/>
    </row>
    <row customHeight="1" ht="11.25">
      <c r="A11" s="1130" t="s">
        <v>1550</v>
      </c>
      <c r="B11" s="1131">
        <v>2009</v>
      </c>
      <c r="E11" s="1132" t="s">
        <v>1551</v>
      </c>
      <c r="F11" s="1149"/>
      <c r="G11" s="1132" t="s">
        <v>1552</v>
      </c>
      <c r="H11" s="1132" t="s">
        <v>1553</v>
      </c>
      <c r="I11" s="1132" t="s">
        <v>145</v>
      </c>
      <c r="J11" s="1133" t="s">
        <v>1554</v>
      </c>
      <c r="K11" s="1155" t="s">
        <v>1555</v>
      </c>
      <c r="O11" s="1133" t="s">
        <v>1556</v>
      </c>
      <c r="V11" s="426" t="s">
        <v>145</v>
      </c>
      <c r="W11" s="331"/>
      <c r="X11" s="1140" t="s">
        <v>1526</v>
      </c>
      <c r="Y11" s="1131" t="s">
        <v>1557</v>
      </c>
      <c r="Z11" s="1147"/>
      <c r="AP11" s="1143" t="s">
        <v>263</v>
      </c>
      <c r="AQ11" s="1145" t="s">
        <v>263</v>
      </c>
      <c r="AW11" s="1176" t="s">
        <v>1558</v>
      </c>
      <c r="AX11" s="1176" t="s">
        <v>1558</v>
      </c>
      <c r="AZ11" s="1176" t="s">
        <v>1559</v>
      </c>
      <c r="BB11" s="1176" t="s">
        <v>1560</v>
      </c>
      <c r="BC11" s="1176" t="s">
        <v>1461</v>
      </c>
      <c r="BE11" s="1176">
        <v>2009</v>
      </c>
      <c r="BF11" s="1176" t="s">
        <v>1561</v>
      </c>
      <c r="BH11" s="1124" t="s">
        <v>1562</v>
      </c>
      <c r="BJ11" s="1124" t="s">
        <v>1531</v>
      </c>
      <c r="BL11" s="1124" t="s">
        <v>1531</v>
      </c>
      <c r="BN11" s="1124" t="s">
        <v>1563</v>
      </c>
      <c r="BQ11" s="1337">
        <v>4213780</v>
      </c>
      <c r="BR11" s="1124" t="s">
        <v>257</v>
      </c>
      <c r="BS11" s="1485"/>
      <c r="BW11" s="1746"/>
      <c r="BX11" s="1746"/>
    </row>
    <row customHeight="1" ht="11.25">
      <c r="A12" s="1130" t="s">
        <v>1564</v>
      </c>
      <c r="B12" s="1131">
        <v>2010</v>
      </c>
      <c r="E12" s="1132" t="s">
        <v>1565</v>
      </c>
      <c r="F12" s="1149"/>
      <c r="G12" s="1132" t="s">
        <v>1553</v>
      </c>
      <c r="I12" s="1132" t="s">
        <v>150</v>
      </c>
      <c r="J12" s="1133" t="s">
        <v>1566</v>
      </c>
      <c r="K12" s="1155" t="s">
        <v>1567</v>
      </c>
      <c r="O12" s="1133" t="s">
        <v>1356</v>
      </c>
      <c r="V12" s="426" t="s">
        <v>150</v>
      </c>
      <c r="W12" s="1145"/>
      <c r="X12" s="1140" t="s">
        <v>1568</v>
      </c>
      <c r="Y12" s="1131" t="s">
        <v>1362</v>
      </c>
      <c r="AP12" s="1143"/>
      <c r="AW12" s="1176" t="s">
        <v>145</v>
      </c>
      <c r="AX12" s="1176" t="s">
        <v>145</v>
      </c>
      <c r="AZ12" s="1176" t="s">
        <v>1569</v>
      </c>
      <c r="BB12" s="1176" t="s">
        <v>1570</v>
      </c>
      <c r="BC12" s="1176" t="s">
        <v>1461</v>
      </c>
      <c r="BE12" s="1176">
        <v>2010</v>
      </c>
      <c r="BF12" s="1176" t="s">
        <v>1571</v>
      </c>
      <c r="BH12" s="1124" t="s">
        <v>1572</v>
      </c>
      <c r="BJ12" s="1124" t="s">
        <v>1573</v>
      </c>
      <c r="BL12" s="1124" t="s">
        <v>1573</v>
      </c>
      <c r="BN12" s="1124" t="s">
        <v>1574</v>
      </c>
      <c r="BQ12" s="1337">
        <v>4213779</v>
      </c>
      <c r="BR12" s="1124" t="s">
        <v>1526</v>
      </c>
      <c r="BS12" s="1485"/>
      <c r="BT12" s="1126"/>
      <c r="BU12" s="1126"/>
      <c r="BV12" s="1126"/>
      <c r="BW12" s="1746"/>
      <c r="BX12" s="1746"/>
    </row>
    <row customHeight="1" ht="11.25">
      <c r="A13" s="1130" t="s">
        <v>1575</v>
      </c>
      <c r="B13" s="1131">
        <v>2011</v>
      </c>
      <c r="E13" s="1132" t="s">
        <v>1576</v>
      </c>
      <c r="F13" s="1149"/>
      <c r="I13" s="1132" t="s">
        <v>155</v>
      </c>
      <c r="K13" s="1155" t="s">
        <v>1525</v>
      </c>
      <c r="V13" s="426" t="s">
        <v>155</v>
      </c>
      <c r="W13" s="1145"/>
      <c r="X13" s="1145"/>
      <c r="Y13" s="1145"/>
      <c r="AW13" s="1176" t="s">
        <v>150</v>
      </c>
      <c r="AX13" s="1176" t="s">
        <v>150</v>
      </c>
      <c r="BB13" s="1176" t="s">
        <v>1577</v>
      </c>
      <c r="BC13" s="1176" t="s">
        <v>1578</v>
      </c>
      <c r="BE13" s="1176">
        <v>2011</v>
      </c>
      <c r="BF13" s="1176" t="s">
        <v>1579</v>
      </c>
      <c r="BH13" s="1124" t="s">
        <v>1580</v>
      </c>
      <c r="BJ13" s="1124" t="s">
        <v>1562</v>
      </c>
      <c r="BL13" s="1124" t="s">
        <v>1562</v>
      </c>
      <c r="BN13" s="1124" t="s">
        <v>1581</v>
      </c>
      <c r="BQ13" s="1337">
        <v>4213783</v>
      </c>
      <c r="BR13" s="1124" t="s">
        <v>1541</v>
      </c>
      <c r="BS13" s="1485"/>
      <c r="BT13" s="1126"/>
      <c r="BU13" s="1126"/>
      <c r="BV13" s="1126"/>
      <c r="BW13" s="1750"/>
      <c r="BX13" s="1746"/>
    </row>
    <row customHeight="1" ht="11.25">
      <c r="A14" s="1130" t="s">
        <v>1582</v>
      </c>
      <c r="B14" s="1131">
        <v>2012</v>
      </c>
      <c r="I14" s="1132" t="s">
        <v>160</v>
      </c>
      <c r="J14" s="1123" t="s">
        <v>1583</v>
      </c>
      <c r="N14" s="1123" t="s">
        <v>1584</v>
      </c>
      <c r="V14" s="1139">
        <v>13</v>
      </c>
      <c r="W14" s="1140"/>
      <c r="X14" s="1140" t="s">
        <v>1393</v>
      </c>
      <c r="Y14" s="1131" t="s">
        <v>1362</v>
      </c>
      <c r="AW14" s="1176" t="s">
        <v>155</v>
      </c>
      <c r="AX14" s="1176" t="s">
        <v>155</v>
      </c>
      <c r="AZ14" s="1123" t="s">
        <v>1585</v>
      </c>
      <c r="BB14" s="1176" t="s">
        <v>1586</v>
      </c>
      <c r="BC14" s="1176" t="s">
        <v>1578</v>
      </c>
      <c r="BE14" s="1176">
        <v>2012</v>
      </c>
      <c r="BH14" s="1124" t="s">
        <v>1501</v>
      </c>
      <c r="BJ14" s="1273" t="s">
        <v>1587</v>
      </c>
      <c r="BL14" s="1273" t="s">
        <v>1587</v>
      </c>
      <c r="BN14" s="1124" t="s">
        <v>1588</v>
      </c>
      <c r="BQ14" s="1337">
        <v>4213782</v>
      </c>
      <c r="BR14" s="1124" t="s">
        <v>263</v>
      </c>
      <c r="BS14" s="1485"/>
      <c r="BT14" s="1126"/>
      <c r="BU14" s="1126"/>
      <c r="BV14" s="1126"/>
      <c r="BW14" s="1750"/>
      <c r="BX14" s="1746"/>
    </row>
    <row customHeight="1" ht="19.5">
      <c r="A15" s="1130" t="s">
        <v>1589</v>
      </c>
      <c r="B15" s="1131">
        <v>2013</v>
      </c>
      <c r="E15" s="1754" t="s">
        <v>1590</v>
      </c>
      <c r="G15" s="1123" t="s">
        <v>1591</v>
      </c>
      <c r="H15" s="1123" t="s">
        <v>1592</v>
      </c>
      <c r="I15" s="1134" t="s">
        <v>165</v>
      </c>
      <c r="J15" s="1145" t="s">
        <v>716</v>
      </c>
      <c r="N15" s="1214" t="s">
        <v>1593</v>
      </c>
      <c r="X15" s="1143"/>
      <c r="AW15" s="1176" t="s">
        <v>160</v>
      </c>
      <c r="AX15" s="1176" t="s">
        <v>160</v>
      </c>
      <c r="AZ15" s="1176" t="s">
        <v>1512</v>
      </c>
      <c r="BB15" s="1176" t="s">
        <v>1594</v>
      </c>
      <c r="BC15" s="1176" t="s">
        <v>1578</v>
      </c>
      <c r="BE15" s="1176">
        <v>2013</v>
      </c>
      <c r="BH15" s="1124" t="s">
        <v>1517</v>
      </c>
      <c r="BJ15" s="1273" t="s">
        <v>1595</v>
      </c>
      <c r="BL15" s="1273" t="s">
        <v>1595</v>
      </c>
      <c r="BN15" s="1124" t="s">
        <v>1596</v>
      </c>
      <c r="BR15" s="1126"/>
      <c r="BS15" s="1487"/>
      <c r="BT15" s="1126"/>
      <c r="BU15" s="1126"/>
      <c r="BV15" s="1126"/>
      <c r="BW15" s="1750"/>
      <c r="BX15" s="1746"/>
    </row>
    <row customHeight="1" ht="21">
      <c r="A16" s="1926" t="s">
        <v>1597</v>
      </c>
      <c r="B16" s="1131">
        <v>2014</v>
      </c>
      <c r="E16" s="1755" t="s">
        <v>1598</v>
      </c>
      <c r="G16" s="1132" t="s">
        <v>1599</v>
      </c>
      <c r="H16" s="1132" t="s">
        <v>1600</v>
      </c>
      <c r="I16" s="1134" t="s">
        <v>170</v>
      </c>
      <c r="J16" s="1145" t="s">
        <v>689</v>
      </c>
      <c r="N16" s="1214" t="s">
        <v>1601</v>
      </c>
      <c r="AW16" s="1176" t="s">
        <v>165</v>
      </c>
      <c r="AX16" s="1176" t="s">
        <v>165</v>
      </c>
      <c r="AZ16" s="1176" t="s">
        <v>1528</v>
      </c>
      <c r="BB16" s="1176" t="s">
        <v>1602</v>
      </c>
      <c r="BC16" s="1176" t="s">
        <v>1578</v>
      </c>
      <c r="BE16" s="1176">
        <v>2014</v>
      </c>
      <c r="BH16" s="1124" t="s">
        <v>1533</v>
      </c>
      <c r="BJ16" s="1273" t="s">
        <v>1603</v>
      </c>
      <c r="BL16" s="1273" t="s">
        <v>1603</v>
      </c>
      <c r="BN16" s="1124" t="s">
        <v>1604</v>
      </c>
      <c r="BR16" s="1126"/>
      <c r="BS16" s="1487"/>
      <c r="BT16" s="1126"/>
      <c r="BU16" s="1126"/>
      <c r="BV16" s="1126"/>
      <c r="BW16" s="1750"/>
      <c r="BX16" s="1746"/>
    </row>
    <row customHeight="1" ht="21">
      <c r="A17" s="1130" t="s">
        <v>1605</v>
      </c>
      <c r="B17" s="1131">
        <v>2015</v>
      </c>
      <c r="G17" s="1132" t="s">
        <v>1553</v>
      </c>
      <c r="H17" s="1132" t="s">
        <v>1553</v>
      </c>
      <c r="I17" s="1132" t="s">
        <v>175</v>
      </c>
      <c r="N17" s="1214" t="s">
        <v>1606</v>
      </c>
      <c r="X17" s="1143"/>
      <c r="AW17" s="1176" t="s">
        <v>170</v>
      </c>
      <c r="AX17" s="1176" t="s">
        <v>170</v>
      </c>
      <c r="AZ17" s="1176" t="s">
        <v>1607</v>
      </c>
      <c r="BB17" s="1176" t="s">
        <v>1608</v>
      </c>
      <c r="BC17" s="1176" t="s">
        <v>1461</v>
      </c>
      <c r="BE17" s="1176">
        <v>2015</v>
      </c>
      <c r="BH17" s="1124" t="s">
        <v>1549</v>
      </c>
      <c r="BJ17" s="1273" t="s">
        <v>1609</v>
      </c>
      <c r="BL17" s="1273" t="s">
        <v>1609</v>
      </c>
      <c r="BN17" s="1124" t="s">
        <v>1610</v>
      </c>
      <c r="BR17" s="1123" t="s">
        <v>1404</v>
      </c>
      <c r="BS17" s="1484"/>
      <c r="BU17" s="1123" t="s">
        <v>1611</v>
      </c>
      <c r="BV17" s="1126"/>
      <c r="BW17" s="1746"/>
      <c r="BX17" s="1748" t="s">
        <v>1612</v>
      </c>
      <c r="CA17" s="1123" t="s">
        <v>1613</v>
      </c>
      <c r="CD17" s="1123" t="s">
        <v>1614</v>
      </c>
    </row>
    <row customHeight="1" ht="21">
      <c r="A18" s="1130" t="s">
        <v>1615</v>
      </c>
      <c r="B18" s="1131">
        <v>2016</v>
      </c>
      <c r="E18" s="2061" t="s">
        <v>1616</v>
      </c>
      <c r="I18" s="1132" t="s">
        <v>180</v>
      </c>
      <c r="N18" s="1214" t="s">
        <v>1617</v>
      </c>
      <c r="X18" s="1143"/>
      <c r="AW18" s="1176" t="s">
        <v>175</v>
      </c>
      <c r="AX18" s="1176" t="s">
        <v>175</v>
      </c>
      <c r="BB18" s="1176" t="s">
        <v>1618</v>
      </c>
      <c r="BC18" s="1176" t="s">
        <v>1461</v>
      </c>
      <c r="BE18" s="1176">
        <v>2016</v>
      </c>
      <c r="BH18" s="1124" t="s">
        <v>1563</v>
      </c>
      <c r="BJ18" s="1273" t="s">
        <v>1619</v>
      </c>
      <c r="BL18" s="1273" t="s">
        <v>1619</v>
      </c>
      <c r="BN18" s="1124" t="s">
        <v>1620</v>
      </c>
      <c r="BQ18" s="1488" t="s">
        <v>1434</v>
      </c>
      <c r="BR18" s="1215" t="s">
        <v>1435</v>
      </c>
      <c r="BS18" s="330"/>
      <c r="BT18" s="1488" t="s">
        <v>1621</v>
      </c>
      <c r="BU18" s="1215" t="s">
        <v>1622</v>
      </c>
      <c r="BV18" s="1126"/>
      <c r="BW18" s="1753" t="s">
        <v>1623</v>
      </c>
      <c r="BX18" s="1747" t="s">
        <v>1624</v>
      </c>
      <c r="BZ18" s="1488" t="s">
        <v>1625</v>
      </c>
      <c r="CA18" s="1215" t="s">
        <v>1626</v>
      </c>
      <c r="CC18" s="1488" t="s">
        <v>1627</v>
      </c>
      <c r="CD18" s="1215" t="s">
        <v>1628</v>
      </c>
    </row>
    <row customHeight="1" ht="21">
      <c r="A19" s="1926" t="s">
        <v>1629</v>
      </c>
      <c r="B19" s="1131">
        <v>2017</v>
      </c>
      <c r="E19" s="1130" t="s">
        <v>238</v>
      </c>
      <c r="I19" s="1132" t="s">
        <v>1630</v>
      </c>
      <c r="N19" s="1214" t="s">
        <v>1631</v>
      </c>
      <c r="X19" s="1143"/>
      <c r="AW19" s="1176" t="s">
        <v>180</v>
      </c>
      <c r="AX19" s="1176" t="s">
        <v>180</v>
      </c>
      <c r="AZ19" s="1123" t="s">
        <v>1632</v>
      </c>
      <c r="BB19" s="1176" t="s">
        <v>1633</v>
      </c>
      <c r="BC19" s="1176" t="s">
        <v>1461</v>
      </c>
      <c r="BE19" s="1176">
        <v>2017</v>
      </c>
      <c r="BH19" s="1124" t="s">
        <v>1634</v>
      </c>
      <c r="BJ19" s="1273" t="s">
        <v>1635</v>
      </c>
      <c r="BL19" s="1273" t="s">
        <v>1635</v>
      </c>
      <c r="BQ19" s="1337">
        <v>4190064</v>
      </c>
      <c r="BR19" s="1124" t="s">
        <v>1636</v>
      </c>
      <c r="BS19" s="1485"/>
      <c r="BT19" s="1337">
        <v>4189671</v>
      </c>
      <c r="BU19" s="1124" t="s">
        <v>1637</v>
      </c>
      <c r="BV19" s="1126"/>
      <c r="BW19" s="1751">
        <v>4189706</v>
      </c>
      <c r="BX19" s="1749" t="s">
        <v>1638</v>
      </c>
      <c r="BZ19" s="1337">
        <v>4189714</v>
      </c>
      <c r="CA19" s="1124" t="s">
        <v>1639</v>
      </c>
      <c r="CC19" s="1337">
        <v>4189708</v>
      </c>
      <c r="CD19" s="1124" t="s">
        <v>1640</v>
      </c>
    </row>
    <row customHeight="1" ht="21">
      <c r="A20" s="1130" t="s">
        <v>1641</v>
      </c>
      <c r="B20" s="1131">
        <v>2018</v>
      </c>
      <c r="E20" s="1130" t="s">
        <v>1393</v>
      </c>
      <c r="I20" s="1132" t="s">
        <v>1642</v>
      </c>
      <c r="N20" s="1214" t="s">
        <v>1643</v>
      </c>
      <c r="AW20" s="1176" t="s">
        <v>1630</v>
      </c>
      <c r="AX20" s="1176" t="s">
        <v>1630</v>
      </c>
      <c r="AZ20" s="1176" t="s">
        <v>1644</v>
      </c>
      <c r="BB20" s="1176" t="s">
        <v>1645</v>
      </c>
      <c r="BC20" s="1176" t="s">
        <v>1578</v>
      </c>
      <c r="BE20" s="1176">
        <v>2018</v>
      </c>
      <c r="BH20" s="1124" t="s">
        <v>1574</v>
      </c>
      <c r="BJ20" s="1124" t="s">
        <v>1501</v>
      </c>
      <c r="BL20" s="1124" t="s">
        <v>1501</v>
      </c>
      <c r="BQ20" s="1337">
        <v>4190065</v>
      </c>
      <c r="BR20" s="1124" t="s">
        <v>1646</v>
      </c>
      <c r="BS20" s="1485"/>
      <c r="BT20" s="1337">
        <v>4189672</v>
      </c>
      <c r="BU20" s="1124" t="s">
        <v>1647</v>
      </c>
      <c r="BV20" s="1126"/>
      <c r="BW20" s="1751">
        <v>4189705</v>
      </c>
      <c r="BX20" s="1749" t="s">
        <v>1648</v>
      </c>
      <c r="BZ20" s="1337">
        <v>4189713</v>
      </c>
      <c r="CA20" s="1124" t="s">
        <v>1648</v>
      </c>
      <c r="CC20" s="1337">
        <v>4189709</v>
      </c>
      <c r="CD20" s="1124" t="s">
        <v>1649</v>
      </c>
    </row>
    <row customHeight="1" ht="21">
      <c r="A21" s="1130" t="s">
        <v>1650</v>
      </c>
      <c r="B21" s="1131">
        <v>2019</v>
      </c>
      <c r="I21" s="1132" t="s">
        <v>1651</v>
      </c>
      <c r="N21" s="1214" t="s">
        <v>1652</v>
      </c>
      <c r="AW21" s="1176" t="s">
        <v>1642</v>
      </c>
      <c r="AX21" s="1176" t="s">
        <v>1642</v>
      </c>
      <c r="AZ21" s="1176" t="s">
        <v>1653</v>
      </c>
      <c r="BB21" s="1176" t="s">
        <v>1654</v>
      </c>
      <c r="BC21" s="1176" t="s">
        <v>1461</v>
      </c>
      <c r="BE21" s="1176">
        <v>2019</v>
      </c>
      <c r="BH21" s="1124" t="s">
        <v>1581</v>
      </c>
      <c r="BJ21" s="1124" t="s">
        <v>1517</v>
      </c>
      <c r="BL21" s="1124" t="s">
        <v>1517</v>
      </c>
      <c r="BQ21" s="1337">
        <v>4190066</v>
      </c>
      <c r="BR21" s="1124" t="s">
        <v>1655</v>
      </c>
      <c r="BS21" s="1485"/>
      <c r="BT21" s="1337">
        <v>4189673</v>
      </c>
      <c r="BU21" s="1124" t="s">
        <v>1656</v>
      </c>
      <c r="BV21" s="1126"/>
      <c r="BW21" s="1751">
        <v>4189707</v>
      </c>
      <c r="BX21" s="1749" t="s">
        <v>1657</v>
      </c>
      <c r="BZ21" s="1337">
        <v>4189712</v>
      </c>
      <c r="CA21" s="1124" t="s">
        <v>1658</v>
      </c>
      <c r="CC21" s="1337">
        <v>4189710</v>
      </c>
      <c r="CD21" s="1124" t="s">
        <v>1659</v>
      </c>
    </row>
    <row customHeight="1" ht="21">
      <c r="A22" s="1130" t="s">
        <v>1660</v>
      </c>
      <c r="B22" s="1131">
        <v>2020</v>
      </c>
      <c r="N22" s="1214" t="s">
        <v>1661</v>
      </c>
      <c r="AW22" s="1176" t="s">
        <v>1651</v>
      </c>
      <c r="AX22" s="1176" t="s">
        <v>1651</v>
      </c>
      <c r="AZ22" s="1176" t="s">
        <v>1662</v>
      </c>
      <c r="BB22" s="1176" t="s">
        <v>1663</v>
      </c>
      <c r="BC22" s="1176" t="s">
        <v>1461</v>
      </c>
      <c r="BE22" s="1176">
        <v>2020</v>
      </c>
      <c r="BH22" s="1124" t="s">
        <v>1588</v>
      </c>
      <c r="BJ22" s="1124" t="s">
        <v>1533</v>
      </c>
      <c r="BL22" s="1124" t="s">
        <v>1533</v>
      </c>
      <c r="BQ22" s="1337">
        <v>4190067</v>
      </c>
      <c r="BR22" s="1124" t="s">
        <v>1664</v>
      </c>
      <c r="BS22" s="1485"/>
      <c r="BT22" s="1337">
        <v>4189674</v>
      </c>
      <c r="BU22" s="1124" t="s">
        <v>1665</v>
      </c>
      <c r="BV22" s="1126"/>
      <c r="BW22" s="1126"/>
      <c r="CC22" s="1337">
        <v>4189711</v>
      </c>
      <c r="CD22" s="1124" t="s">
        <v>425</v>
      </c>
    </row>
    <row customHeight="1" ht="21">
      <c r="A23" s="1130" t="s">
        <v>1666</v>
      </c>
      <c r="B23" s="1131">
        <v>2021</v>
      </c>
      <c r="AW23" s="1176" t="s">
        <v>1667</v>
      </c>
      <c r="AX23" s="1176" t="s">
        <v>1667</v>
      </c>
      <c r="AZ23" s="1176" t="s">
        <v>1668</v>
      </c>
      <c r="BB23" s="1176" t="s">
        <v>1669</v>
      </c>
      <c r="BC23" s="1176" t="s">
        <v>1373</v>
      </c>
      <c r="BE23" s="1176">
        <v>2021</v>
      </c>
      <c r="BH23" s="1124" t="s">
        <v>1596</v>
      </c>
      <c r="BJ23" s="1124" t="s">
        <v>1549</v>
      </c>
      <c r="BL23" s="1124" t="s">
        <v>1549</v>
      </c>
      <c r="BQ23" s="1337">
        <v>4190068</v>
      </c>
      <c r="BR23" s="1124" t="s">
        <v>1670</v>
      </c>
      <c r="BS23" s="1485"/>
      <c r="BT23" s="1337">
        <v>4189675</v>
      </c>
      <c r="BU23" s="1124" t="s">
        <v>1671</v>
      </c>
      <c r="BV23" s="1126"/>
      <c r="BW23" s="1126"/>
      <c r="CC23" s="1337">
        <v>5110778</v>
      </c>
      <c r="CD23" s="1124" t="s">
        <v>1672</v>
      </c>
    </row>
    <row customHeight="1" ht="21">
      <c r="A24" s="1130" t="s">
        <v>1673</v>
      </c>
      <c r="B24" s="1131">
        <v>2022</v>
      </c>
      <c r="AW24" s="1176" t="s">
        <v>1674</v>
      </c>
      <c r="AX24" s="1176" t="s">
        <v>1674</v>
      </c>
      <c r="AZ24" s="1176" t="s">
        <v>1675</v>
      </c>
      <c r="BB24" s="1176" t="s">
        <v>1676</v>
      </c>
      <c r="BC24" s="1176" t="s">
        <v>1677</v>
      </c>
      <c r="BE24" s="1176">
        <v>2022</v>
      </c>
      <c r="BH24" s="1124" t="s">
        <v>1604</v>
      </c>
      <c r="BJ24" s="1124" t="s">
        <v>1563</v>
      </c>
      <c r="BL24" s="1124" t="s">
        <v>1563</v>
      </c>
      <c r="BQ24" s="1337">
        <v>4190069</v>
      </c>
      <c r="BR24" s="1124" t="s">
        <v>1678</v>
      </c>
      <c r="BS24" s="1485"/>
      <c r="BT24" s="1337">
        <v>4189676</v>
      </c>
      <c r="BU24" s="1124" t="s">
        <v>1679</v>
      </c>
      <c r="BV24" s="1126"/>
      <c r="BW24" s="1126"/>
      <c r="CC24" s="1337">
        <v>25575374</v>
      </c>
      <c r="CD24" s="1124" t="s">
        <v>1680</v>
      </c>
    </row>
    <row customHeight="1" ht="11.25">
      <c r="A25" s="1130" t="s">
        <v>1681</v>
      </c>
      <c r="B25" s="1131">
        <v>2023</v>
      </c>
      <c r="AW25" s="1176" t="s">
        <v>1682</v>
      </c>
      <c r="AX25" s="1176" t="s">
        <v>1682</v>
      </c>
      <c r="AZ25" s="1176" t="s">
        <v>1683</v>
      </c>
      <c r="BB25" s="1176" t="s">
        <v>1684</v>
      </c>
      <c r="BC25" s="1176" t="s">
        <v>1677</v>
      </c>
      <c r="BE25" s="1176">
        <v>2023</v>
      </c>
      <c r="BH25" s="1124" t="s">
        <v>1610</v>
      </c>
      <c r="BJ25" s="1124" t="s">
        <v>1634</v>
      </c>
      <c r="BL25" s="1124" t="s">
        <v>1634</v>
      </c>
      <c r="BQ25" s="1337">
        <v>4190070</v>
      </c>
      <c r="BR25" s="1124" t="s">
        <v>1685</v>
      </c>
      <c r="BS25" s="1485"/>
      <c r="BT25" s="1337">
        <v>4189677</v>
      </c>
      <c r="BU25" s="1124" t="s">
        <v>1686</v>
      </c>
      <c r="BV25" s="1126"/>
      <c r="BW25" s="1126"/>
    </row>
    <row customHeight="1" ht="11.25">
      <c r="A26" s="1130" t="s">
        <v>1687</v>
      </c>
      <c r="B26" s="1131">
        <v>2024</v>
      </c>
      <c r="J26" s="1787" t="s">
        <v>1688</v>
      </c>
      <c r="AX26" s="1176" t="s">
        <v>1689</v>
      </c>
      <c r="AZ26" s="1176" t="s">
        <v>1556</v>
      </c>
      <c r="BB26" s="1176" t="s">
        <v>1690</v>
      </c>
      <c r="BC26" s="1176" t="s">
        <v>1677</v>
      </c>
      <c r="BE26" s="1176">
        <v>2024</v>
      </c>
      <c r="BH26" s="1124" t="s">
        <v>1620</v>
      </c>
      <c r="BJ26" s="1124" t="s">
        <v>1574</v>
      </c>
      <c r="BL26" s="1124" t="s">
        <v>1574</v>
      </c>
      <c r="BQ26" s="1337">
        <v>4190071</v>
      </c>
      <c r="BR26" s="1124" t="s">
        <v>1691</v>
      </c>
      <c r="BS26" s="1485"/>
      <c r="BV26" s="1126"/>
      <c r="BW26" s="1126"/>
    </row>
    <row customHeight="1" ht="11.25">
      <c r="A27" s="1130" t="s">
        <v>1692</v>
      </c>
      <c r="B27" s="1131">
        <v>2025</v>
      </c>
      <c r="J27" s="232" t="s">
        <v>109</v>
      </c>
      <c r="AX27" s="1176" t="s">
        <v>1693</v>
      </c>
      <c r="BB27" s="1176" t="s">
        <v>1694</v>
      </c>
      <c r="BC27" s="1176" t="s">
        <v>1677</v>
      </c>
      <c r="BE27" s="1176">
        <v>2025</v>
      </c>
      <c r="BH27" s="1126" t="s">
        <v>28</v>
      </c>
      <c r="BJ27" s="1124" t="s">
        <v>1581</v>
      </c>
      <c r="BL27" s="1124" t="s">
        <v>1581</v>
      </c>
      <c r="BN27" s="1126" t="s">
        <v>28</v>
      </c>
      <c r="BQ27" s="1337">
        <v>4190072</v>
      </c>
      <c r="BR27" s="1124" t="s">
        <v>1695</v>
      </c>
      <c r="BS27" s="1485"/>
      <c r="BV27" s="1126"/>
      <c r="BW27" s="1126"/>
    </row>
    <row customHeight="1" ht="11.25">
      <c r="A28" s="1130" t="s">
        <v>1696</v>
      </c>
      <c r="D28" s="1157"/>
      <c r="E28" s="1158"/>
      <c r="F28" s="1158"/>
      <c r="H28" s="1159" t="s">
        <v>1697</v>
      </c>
      <c r="AX28" s="1176" t="s">
        <v>1698</v>
      </c>
      <c r="AZ28" s="1123" t="s">
        <v>1699</v>
      </c>
      <c r="BB28" s="1176" t="s">
        <v>1700</v>
      </c>
      <c r="BC28" s="1176" t="s">
        <v>1701</v>
      </c>
      <c r="BE28" s="1176">
        <v>2026</v>
      </c>
      <c r="BH28" s="1126" t="s">
        <v>28</v>
      </c>
      <c r="BJ28" s="1124" t="s">
        <v>1588</v>
      </c>
      <c r="BL28" s="1124" t="s">
        <v>1588</v>
      </c>
      <c r="BN28" s="1126" t="s">
        <v>28</v>
      </c>
      <c r="BQ28" s="1337">
        <v>4190073</v>
      </c>
      <c r="BR28" s="1124" t="s">
        <v>1702</v>
      </c>
      <c r="BS28" s="1485"/>
      <c r="BV28" s="1126"/>
      <c r="BW28" s="1126"/>
    </row>
    <row customHeight="1" ht="11.25">
      <c r="A29" s="1130" t="s">
        <v>1703</v>
      </c>
      <c r="D29" s="1160" t="s">
        <v>1704</v>
      </c>
      <c r="E29" s="1161" t="str">
        <f>IF(TEMPLATE_GROUP="","",INDEX(StartDateList,MATCH(TEMPLATE_GROUP,CodeTemplateList,0),1))</f>
        <v>01.01.2024</v>
      </c>
      <c r="F29" s="1161" t="str">
        <f>IF(TEMPLATE_GROUP="","",INDEX(EndDateList,MATCH(TEMPLATE_GROUP,CodeTemplateList,0),1))</f>
        <v>31.12.2028</v>
      </c>
      <c r="H29" s="1162" t="s">
        <v>1705</v>
      </c>
      <c r="AX29" s="1176" t="s">
        <v>1706</v>
      </c>
      <c r="AZ29" s="1176" t="s">
        <v>1357</v>
      </c>
      <c r="BB29" s="1176" t="s">
        <v>1556</v>
      </c>
      <c r="BC29" s="1147"/>
      <c r="BE29" s="1176">
        <v>2027</v>
      </c>
      <c r="BJ29" s="1124" t="s">
        <v>1596</v>
      </c>
      <c r="BL29" s="1124" t="s">
        <v>1596</v>
      </c>
    </row>
    <row customHeight="1" ht="11.25">
      <c r="A30" s="1130" t="s">
        <v>1707</v>
      </c>
      <c r="D30" s="1163"/>
      <c r="E30" s="1164"/>
      <c r="F30" s="1164"/>
      <c r="AX30" s="1176" t="s">
        <v>1708</v>
      </c>
      <c r="AZ30" s="1176" t="s">
        <v>626</v>
      </c>
      <c r="BE30" s="1176">
        <v>2028</v>
      </c>
      <c r="BJ30" s="1124" t="s">
        <v>1709</v>
      </c>
      <c r="BL30" s="1124" t="s">
        <v>1709</v>
      </c>
    </row>
    <row customHeight="1" ht="12.75">
      <c r="A31" s="1130" t="s">
        <v>1710</v>
      </c>
      <c r="D31" s="1157"/>
      <c r="E31" s="1158"/>
      <c r="F31" s="1158"/>
      <c r="H31" s="1165"/>
      <c r="AX31" s="1176" t="s">
        <v>1711</v>
      </c>
      <c r="AZ31" s="1176" t="s">
        <v>625</v>
      </c>
      <c r="BE31" s="1176">
        <v>2029</v>
      </c>
      <c r="BJ31" s="1124" t="s">
        <v>1712</v>
      </c>
      <c r="BL31" s="1124" t="s">
        <v>1712</v>
      </c>
    </row>
    <row customHeight="1" ht="11.25">
      <c r="A32" s="1130" t="s">
        <v>1713</v>
      </c>
      <c r="D32" s="1160" t="s">
        <v>1714</v>
      </c>
      <c r="E32" s="1161" t="str">
        <f>IF(TEMPLATE_GROUP="","",INDEX(StartDateList,MATCH(TEMPLATE_GROUP,CodeTemplateList,0),1))</f>
        <v>01.01.2024</v>
      </c>
      <c r="F32" s="1161" t="str">
        <f>IF(TEMPLATE_GROUP="","",INDEX(EndDateList,MATCH(TEMPLATE_GROUP,CodeTemplateList,0),1))</f>
        <v>31.12.2028</v>
      </c>
      <c r="H32" s="1166" t="s">
        <v>1715</v>
      </c>
      <c r="O32" s="1130" t="s">
        <v>1354</v>
      </c>
      <c r="AX32" s="1176" t="s">
        <v>1716</v>
      </c>
      <c r="AZ32" s="1176" t="s">
        <v>627</v>
      </c>
      <c r="BE32" s="1176">
        <v>2030</v>
      </c>
      <c r="BJ32" s="1124" t="s">
        <v>1604</v>
      </c>
      <c r="BL32" s="1124" t="s">
        <v>1604</v>
      </c>
    </row>
    <row customHeight="1" ht="11.25">
      <c r="A33" s="1130" t="s">
        <v>16</v>
      </c>
      <c r="O33" s="1130" t="s">
        <v>1381</v>
      </c>
      <c r="AX33" s="1176" t="s">
        <v>1717</v>
      </c>
      <c r="AZ33" s="1176" t="s">
        <v>1356</v>
      </c>
      <c r="BE33" s="1176">
        <v>2031</v>
      </c>
      <c r="BJ33" s="1124" t="s">
        <v>1610</v>
      </c>
      <c r="BL33" s="1124" t="s">
        <v>1610</v>
      </c>
    </row>
    <row customHeight="1" ht="11.25">
      <c r="A34" s="1130" t="s">
        <v>1718</v>
      </c>
      <c r="O34" s="1130" t="s">
        <v>1415</v>
      </c>
      <c r="AX34" s="1176" t="s">
        <v>1719</v>
      </c>
      <c r="BE34" s="1176">
        <v>2032</v>
      </c>
      <c r="BJ34" s="1124" t="s">
        <v>1620</v>
      </c>
      <c r="BL34" s="1124" t="s">
        <v>1620</v>
      </c>
    </row>
    <row customHeight="1" ht="11.25">
      <c r="A35" s="1130" t="s">
        <v>1720</v>
      </c>
      <c r="O35" s="1130" t="s">
        <v>1448</v>
      </c>
      <c r="AX35" s="1176" t="s">
        <v>1721</v>
      </c>
      <c r="AZ35" s="1123" t="s">
        <v>1722</v>
      </c>
      <c r="BE35" s="1176">
        <v>2033</v>
      </c>
      <c r="BL35" s="1124" t="s">
        <v>1723</v>
      </c>
    </row>
    <row customHeight="1" ht="11.25">
      <c r="A36" s="1926" t="s">
        <v>1724</v>
      </c>
      <c r="D36" s="1167" t="s">
        <v>1725</v>
      </c>
      <c r="E36" s="1168" t="s">
        <v>986</v>
      </c>
      <c r="F36" s="1169" t="str">
        <f>INDEX(E37:E41,MATCH(TEMPLATE_SPHERE,F37:F41,0))</f>
        <v>холодного водоснабжения</v>
      </c>
      <c r="G36" s="1169" t="str">
        <f>INDEX(G37:G41,MATCH(TEMPLATE_SPHERE,F37:F41,0))</f>
        <v>холодное водоснабжение</v>
      </c>
      <c r="O36" s="1130" t="s">
        <v>1472</v>
      </c>
      <c r="AX36" s="1176" t="s">
        <v>1726</v>
      </c>
      <c r="AZ36" s="1176" t="s">
        <v>1356</v>
      </c>
      <c r="BE36" s="1176">
        <v>2034</v>
      </c>
      <c r="BL36" s="1124" t="s">
        <v>1727</v>
      </c>
    </row>
    <row customHeight="1" ht="11.25">
      <c r="A37" s="1130" t="s">
        <v>1728</v>
      </c>
      <c r="E37" s="463" t="s">
        <v>1729</v>
      </c>
      <c r="F37" s="1170" t="s">
        <v>940</v>
      </c>
      <c r="G37" s="463" t="s">
        <v>1730</v>
      </c>
      <c r="O37" s="1130" t="s">
        <v>1491</v>
      </c>
      <c r="AX37" s="1176" t="s">
        <v>1731</v>
      </c>
      <c r="AZ37" s="1176" t="s">
        <v>1382</v>
      </c>
      <c r="BE37" s="1176">
        <v>2035</v>
      </c>
    </row>
    <row customHeight="1" ht="11.25">
      <c r="A38" s="1130" t="s">
        <v>1732</v>
      </c>
      <c r="E38" s="463" t="s">
        <v>1733</v>
      </c>
      <c r="F38" s="1171" t="s">
        <v>986</v>
      </c>
      <c r="G38" s="463" t="s">
        <v>1734</v>
      </c>
      <c r="O38" s="1130" t="s">
        <v>1508</v>
      </c>
      <c r="AX38" s="1176" t="s">
        <v>1735</v>
      </c>
      <c r="AZ38" s="1176" t="s">
        <v>1416</v>
      </c>
      <c r="BE38" s="1176">
        <v>2036</v>
      </c>
      <c r="BH38" s="1123" t="s">
        <v>1736</v>
      </c>
      <c r="BJ38" s="1123" t="s">
        <v>1737</v>
      </c>
      <c r="BL38" s="1123" t="s">
        <v>1738</v>
      </c>
      <c r="BN38" s="1123" t="s">
        <v>1739</v>
      </c>
    </row>
    <row customHeight="1" ht="11.25">
      <c r="A39" s="1130" t="s">
        <v>1740</v>
      </c>
      <c r="E39" s="463" t="s">
        <v>1741</v>
      </c>
      <c r="F39" s="1171" t="s">
        <v>1039</v>
      </c>
      <c r="G39" s="463" t="s">
        <v>1742</v>
      </c>
      <c r="O39" s="1130" t="s">
        <v>1524</v>
      </c>
      <c r="AX39" s="1176" t="s">
        <v>1743</v>
      </c>
      <c r="AZ39" s="1176" t="s">
        <v>1449</v>
      </c>
      <c r="BE39" s="1176">
        <v>2037</v>
      </c>
      <c r="BH39" s="1124" t="s">
        <v>1744</v>
      </c>
      <c r="BJ39" s="1273" t="s">
        <v>1744</v>
      </c>
      <c r="BL39" s="1273" t="s">
        <v>1744</v>
      </c>
      <c r="BN39" s="1124" t="s">
        <v>1745</v>
      </c>
    </row>
    <row customHeight="1" ht="11.25">
      <c r="A40" s="1130" t="s">
        <v>1746</v>
      </c>
      <c r="E40" s="463" t="s">
        <v>1747</v>
      </c>
      <c r="F40" s="1171" t="s">
        <v>1026</v>
      </c>
      <c r="G40" s="463" t="s">
        <v>1748</v>
      </c>
      <c r="O40" s="1130" t="s">
        <v>1540</v>
      </c>
      <c r="AX40" s="1176" t="s">
        <v>1749</v>
      </c>
      <c r="BE40" s="1176">
        <v>2038</v>
      </c>
      <c r="BH40" s="1124" t="s">
        <v>1750</v>
      </c>
      <c r="BJ40" s="1273" t="s">
        <v>1159</v>
      </c>
      <c r="BL40" s="1273" t="s">
        <v>1159</v>
      </c>
      <c r="BN40" s="1124" t="s">
        <v>1193</v>
      </c>
    </row>
    <row customHeight="1" ht="11.25">
      <c r="A41" s="1130" t="s">
        <v>1751</v>
      </c>
      <c r="E41" s="463" t="s">
        <v>1752</v>
      </c>
      <c r="F41" s="1171" t="s">
        <v>1753</v>
      </c>
      <c r="G41" s="463" t="s">
        <v>1752</v>
      </c>
      <c r="O41" s="1130" t="s">
        <v>1556</v>
      </c>
      <c r="AX41" s="1176" t="s">
        <v>1754</v>
      </c>
      <c r="AZ41" s="1123" t="s">
        <v>1755</v>
      </c>
      <c r="BE41" s="1176">
        <v>2039</v>
      </c>
      <c r="BH41" s="1124" t="s">
        <v>1756</v>
      </c>
      <c r="BJ41" s="1273" t="s">
        <v>1155</v>
      </c>
      <c r="BL41" s="1273" t="s">
        <v>1155</v>
      </c>
      <c r="BN41" s="1124" t="s">
        <v>1180</v>
      </c>
    </row>
    <row customHeight="1" ht="11.25">
      <c r="A42" s="1130" t="s">
        <v>1757</v>
      </c>
      <c r="AX42" s="1176" t="s">
        <v>1758</v>
      </c>
      <c r="AZ42" s="1176" t="s">
        <v>1354</v>
      </c>
      <c r="BE42" s="1176">
        <v>2040</v>
      </c>
      <c r="BH42" s="1124" t="s">
        <v>1177</v>
      </c>
      <c r="BJ42" s="1273" t="s">
        <v>1157</v>
      </c>
      <c r="BL42" s="1273" t="s">
        <v>1157</v>
      </c>
      <c r="BN42" s="1124" t="s">
        <v>1759</v>
      </c>
    </row>
    <row customHeight="1" ht="11.25">
      <c r="A43" s="1130" t="s">
        <v>1760</v>
      </c>
      <c r="AX43" s="1176" t="s">
        <v>1761</v>
      </c>
      <c r="AZ43" s="1176" t="s">
        <v>1381</v>
      </c>
      <c r="BE43" s="1176">
        <v>2041</v>
      </c>
      <c r="BH43" s="1124" t="s">
        <v>1762</v>
      </c>
      <c r="BJ43" s="1273" t="s">
        <v>1756</v>
      </c>
      <c r="BL43" s="1273" t="s">
        <v>1756</v>
      </c>
      <c r="BN43" s="1124" t="s">
        <v>1763</v>
      </c>
    </row>
    <row customHeight="1" ht="11.25">
      <c r="A44" s="1130" t="s">
        <v>1764</v>
      </c>
      <c r="G44" s="1150">
        <f>YEAR(TODAY())</f>
        <v>2025</v>
      </c>
      <c r="I44" s="855" t="s">
        <v>1765</v>
      </c>
      <c r="J44" s="1145" t="s">
        <v>1766</v>
      </c>
      <c r="K44" s="1145" t="s">
        <v>1767</v>
      </c>
      <c r="AX44" s="1176" t="s">
        <v>1768</v>
      </c>
      <c r="AZ44" s="1176" t="s">
        <v>1415</v>
      </c>
      <c r="BE44" s="1176">
        <v>2042</v>
      </c>
      <c r="BH44" s="1124" t="s">
        <v>1769</v>
      </c>
      <c r="BJ44" s="1273" t="s">
        <v>1177</v>
      </c>
      <c r="BL44" s="1273" t="s">
        <v>1177</v>
      </c>
      <c r="BN44" s="1124" t="s">
        <v>1770</v>
      </c>
    </row>
    <row customHeight="1" ht="11.25">
      <c r="A45" s="1130" t="s">
        <v>1771</v>
      </c>
      <c r="D45" s="1167" t="s">
        <v>1772</v>
      </c>
      <c r="E45" s="1168" t="s">
        <v>1773</v>
      </c>
      <c r="F45" s="853" t="s">
        <v>1774</v>
      </c>
      <c r="G45" s="852" t="s">
        <v>1775</v>
      </c>
      <c r="H45" s="855" t="s">
        <v>1776</v>
      </c>
      <c r="I45" s="1797">
        <f>INDEX(PeriodIsEmptyList,MATCH(TEMPLATE_GROUP,CodeTemplateList,0),1)</f>
        <v>0</v>
      </c>
      <c r="J45" s="1800" t="str">
        <f>INDEX(NameTemplatesInTitleList,MATCH(TEMPLATE_GROUP,CodeTemplateList,0),1)</f>
        <v>Показатели, подлежащие раскрытию в сфере холодного водоснабжения (цены и тарифы)</v>
      </c>
      <c r="K45" s="180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76" t="s">
        <v>1777</v>
      </c>
      <c r="AZ45" s="1176" t="s">
        <v>1448</v>
      </c>
      <c r="BE45" s="1176">
        <v>2043</v>
      </c>
      <c r="BH45" s="1124" t="s">
        <v>1778</v>
      </c>
      <c r="BJ45" s="1273" t="s">
        <v>1171</v>
      </c>
      <c r="BL45" s="1273" t="s">
        <v>1171</v>
      </c>
      <c r="BN45" s="1124" t="s">
        <v>1779</v>
      </c>
    </row>
    <row customHeight="1" ht="11.25">
      <c r="A46" s="1130" t="s">
        <v>1780</v>
      </c>
      <c r="E46" s="463" t="s">
        <v>26</v>
      </c>
      <c r="F46" s="1170" t="s">
        <v>1781</v>
      </c>
      <c r="G46" s="1172" t="str">
        <f>_xlfn.IFERROR(IF(TITLE_DATE_FIL="","01.01."&amp;CURRENT_YEAR,"01.01."&amp;YEAR(TITLE_DATE_FIL)),"01.01."&amp;CURRENT_YEAR)</f>
        <v>01.01.2025</v>
      </c>
      <c r="H46" s="1172" t="str">
        <f>_xlfn.IFERROR(IF(TITLE_DATE_FIL="","31.12."&amp;CURRENT_YEAR,"31.12."&amp;YEAR(TITLE_DATE_FIL)),"31.12."&amp;CURRENT_YEAR)</f>
        <v>31.12.2025</v>
      </c>
      <c r="I46" s="1798">
        <f>IF(TITLE_DATE_FIL="",TRUE,FALSE)</f>
        <v>1</v>
      </c>
      <c r="J46" s="1801" t="str">
        <f>"Общая информация о регулируемой организации ("&amp;TEMPLATE_SPHERE_RUS&amp;")"</f>
        <v>Общая информация о регулируемой организации (холодного водоснабжения)</v>
      </c>
      <c r="K46" s="1802"/>
      <c r="AX46" s="1176" t="s">
        <v>1782</v>
      </c>
      <c r="AZ46" s="1176" t="s">
        <v>1472</v>
      </c>
      <c r="BE46" s="1176">
        <v>2044</v>
      </c>
      <c r="BH46" s="1124" t="s">
        <v>1180</v>
      </c>
      <c r="BJ46" s="1273" t="s">
        <v>1161</v>
      </c>
      <c r="BL46" s="1273" t="s">
        <v>1161</v>
      </c>
      <c r="BN46" s="1124" t="s">
        <v>1783</v>
      </c>
    </row>
    <row customHeight="1" ht="11.25">
      <c r="A47" s="1130" t="s">
        <v>1784</v>
      </c>
      <c r="E47" s="463" t="s">
        <v>33</v>
      </c>
      <c r="F47" s="1171" t="s">
        <v>1785</v>
      </c>
      <c r="G47" s="1172" t="str">
        <f>_xlfn.IFERROR(IF(f_year="","01.01."&amp;CURRENT_YEAR,IF(LEN(f_quart)=0,"01.01."&amp;f_year,IF(f_quart="I квартал","01.01."&amp;f_year,IF(f_quart="II квартал","01.04."&amp;f_year,(IF(f_quart="III квартал","01.07."&amp;f_year,"01.10."&amp;f_year)))))),"01.01."&amp;CURRENT_YEAR)</f>
        <v>01.01.2025</v>
      </c>
      <c r="H47" s="1172" t="str">
        <f>_xlfn.IFERROR(IF(f_year="","31.12."&amp;CURRENT_YEAR,IF(LEN(f_quart)=0,"31.12."&amp;f_year,IF(f_quart="I квартал","31.03."&amp;f_year,IF(f_quart="II квартал","30.06."&amp;f_year,(IF(f_quart="III квартал","30.09."&amp;f_year,"31.12."&amp;f_year)))))),"31.12."&amp;CURRENT_YEAR)</f>
        <v>31.12.2025</v>
      </c>
      <c r="I47" s="1799">
        <f>IF(OR(f_year="",f_quart=""),TRUE,FALSE)</f>
        <v>1</v>
      </c>
      <c r="J47" s="180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802"/>
      <c r="AX47" s="1176" t="s">
        <v>1786</v>
      </c>
      <c r="AZ47" s="1176" t="s">
        <v>1491</v>
      </c>
      <c r="BE47" s="1176">
        <v>2045</v>
      </c>
      <c r="BH47" s="1124" t="s">
        <v>1759</v>
      </c>
      <c r="BJ47" s="1273" t="s">
        <v>1163</v>
      </c>
      <c r="BL47" s="1273" t="s">
        <v>1163</v>
      </c>
      <c r="BN47" s="1124" t="s">
        <v>1787</v>
      </c>
    </row>
    <row customHeight="1" ht="11.25">
      <c r="A48" s="1130" t="s">
        <v>1788</v>
      </c>
      <c r="E48" s="463" t="s">
        <v>1789</v>
      </c>
      <c r="F48" s="1171" t="s">
        <v>1790</v>
      </c>
      <c r="G48" s="1172" t="str">
        <f>_xlfn.IFERROR(IF(f_year="","01.01."&amp;CURRENT_YEAR,"01.01."&amp;f_year),"01.01."&amp;CURRENT_YEAR)</f>
        <v>01.01.2025</v>
      </c>
      <c r="H48" s="1172" t="str">
        <f>_xlfn.IFERROR(IF(f_year="","31.12."&amp;CURRENT_YEAR,"31.12."&amp;f_year),"31.12."&amp;CURRENT_YEAR)</f>
        <v>31.12.2025</v>
      </c>
      <c r="I48" s="1798">
        <f>IF(f_year="",TRUE,FALSE)</f>
        <v>1</v>
      </c>
      <c r="J48" s="1801" t="s">
        <v>1791</v>
      </c>
      <c r="K48" s="1802"/>
      <c r="AX48" s="1176" t="s">
        <v>1792</v>
      </c>
      <c r="AZ48" s="1176" t="s">
        <v>1508</v>
      </c>
      <c r="BE48" s="1176">
        <v>2046</v>
      </c>
      <c r="BH48" s="1124" t="s">
        <v>1763</v>
      </c>
      <c r="BJ48" s="1273" t="s">
        <v>1165</v>
      </c>
      <c r="BL48" s="1273" t="s">
        <v>1165</v>
      </c>
      <c r="BN48" s="1124" t="s">
        <v>1793</v>
      </c>
    </row>
    <row customHeight="1" ht="11.25">
      <c r="A49" s="1130" t="s">
        <v>1794</v>
      </c>
      <c r="E49" s="463" t="s">
        <v>1795</v>
      </c>
      <c r="F49" s="1171" t="s">
        <v>1796</v>
      </c>
      <c r="G49" s="1172" t="str">
        <f>_xlfn.IFERROR(IF(f_year="","01.01."&amp;CURRENT_YEAR,"01.01."&amp;f_year),"01.01."&amp;CURRENT_YEAR)</f>
        <v>01.01.2025</v>
      </c>
      <c r="H49" s="1172" t="str">
        <f>_xlfn.IFERROR(IF(f_year="","31.12."&amp;CURRENT_YEAR,"31.12."&amp;f_year),"31.12."&amp;CURRENT_YEAR)</f>
        <v>31.12.2025</v>
      </c>
      <c r="I49" s="1798">
        <f>IF(f_year="",TRUE,FALSE)</f>
        <v>1</v>
      </c>
      <c r="J49" s="180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802"/>
      <c r="AX49" s="1176" t="s">
        <v>1797</v>
      </c>
      <c r="AZ49" s="1176" t="s">
        <v>1524</v>
      </c>
      <c r="BE49" s="1176">
        <v>2047</v>
      </c>
      <c r="BH49" s="1124" t="s">
        <v>1181</v>
      </c>
      <c r="BJ49" s="1273" t="s">
        <v>1167</v>
      </c>
      <c r="BL49" s="1273" t="s">
        <v>1167</v>
      </c>
    </row>
    <row customHeight="1" ht="11.25">
      <c r="A50" s="1130" t="s">
        <v>1798</v>
      </c>
      <c r="E50" s="463" t="s">
        <v>1799</v>
      </c>
      <c r="F50" s="1171" t="s">
        <v>1151</v>
      </c>
      <c r="G50" s="1172" t="str">
        <f>_xlfn.IFERROR(IF(f_year="","01.01."&amp;CURRENT_YEAR,"01.01."&amp;f_year),"01.01."&amp;CURRENT_YEAR)</f>
        <v>01.01.2025</v>
      </c>
      <c r="H50" s="1172" t="str">
        <f>_xlfn.IFERROR(IF(f_year="","31.12."&amp;CURRENT_YEAR,"31.12."&amp;f_year),"31.12."&amp;CURRENT_YEAR)</f>
        <v>31.12.2025</v>
      </c>
      <c r="I50" s="1798">
        <f>IF(f_year="",TRUE,FALSE)</f>
        <v>1</v>
      </c>
      <c r="J50" s="180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802"/>
      <c r="AX50" s="1176" t="s">
        <v>1800</v>
      </c>
      <c r="AZ50" s="1176" t="s">
        <v>1540</v>
      </c>
      <c r="BE50" s="1176">
        <v>2048</v>
      </c>
      <c r="BH50" s="1124" t="s">
        <v>1770</v>
      </c>
      <c r="BJ50" s="1273" t="s">
        <v>1169</v>
      </c>
      <c r="BL50" s="1273" t="s">
        <v>1169</v>
      </c>
    </row>
    <row customHeight="1" ht="11.25">
      <c r="A51" s="1130" t="s">
        <v>1801</v>
      </c>
      <c r="E51" s="463" t="s">
        <v>1802</v>
      </c>
      <c r="F51" s="1171" t="s">
        <v>1803</v>
      </c>
      <c r="G51" s="1172" t="str">
        <f>_xlfn.IFERROR(IF(TITLE_PERIOD_START="","01.01."&amp;CURRENT_YEAR,"01.01."&amp;YEAR(TITLE_PERIOD_START)),"01.01."&amp;CURRENT_YEAR)</f>
        <v>01.01.2024</v>
      </c>
      <c r="H51" s="1172" t="str">
        <f>_xlfn.IFERROR(IF(TITLE_PERIOD_END="","31.12."&amp;CURRENT_YEAR,"31.12."&amp;YEAR(TITLE_PERIOD_END)),"31.12."&amp;CURRENT_YEAR)</f>
        <v>31.12.2028</v>
      </c>
      <c r="I51" s="1799">
        <f>IF(OR(TITLE_PERIOD_START="",TITLE_PERIOD_END=""),TRUE,FALSE)</f>
        <v>0</v>
      </c>
      <c r="J51" s="180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02"/>
      <c r="AX51" s="1176" t="s">
        <v>1804</v>
      </c>
      <c r="AZ51" s="1176" t="s">
        <v>1556</v>
      </c>
      <c r="BE51" s="1176">
        <v>2049</v>
      </c>
      <c r="BH51" s="1124" t="s">
        <v>1779</v>
      </c>
      <c r="BJ51" s="1273" t="s">
        <v>1805</v>
      </c>
      <c r="BL51" s="1273" t="s">
        <v>1805</v>
      </c>
    </row>
    <row customHeight="1" ht="11.25">
      <c r="A52" s="1130" t="s">
        <v>1806</v>
      </c>
      <c r="E52" s="463" t="s">
        <v>1807</v>
      </c>
      <c r="F52" s="1171" t="s">
        <v>1773</v>
      </c>
      <c r="G52" s="1172" t="str">
        <f>_xlfn.IFERROR(IF(TITLE_PERIOD_START="","01.01."&amp;CURRENT_YEAR,"01.01."&amp;YEAR(TITLE_PERIOD_START)),"01.01."&amp;CURRENT_YEAR)</f>
        <v>01.01.2024</v>
      </c>
      <c r="H52" s="1172" t="str">
        <f>_xlfn.IFERROR(IF(TITLE_PERIOD_END="","31.12."&amp;CURRENT_YEAR,"31.12."&amp;YEAR(TITLE_PERIOD_END)),"31.12."&amp;CURRENT_YEAR)</f>
        <v>31.12.2028</v>
      </c>
      <c r="I52" s="1799">
        <f>IF(OR(TITLE_PERIOD_START="",TITLE_PERIOD_END=""),TRUE,FALSE)</f>
        <v>0</v>
      </c>
      <c r="J52" s="1801"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802"/>
      <c r="AX52" s="1176" t="s">
        <v>1808</v>
      </c>
      <c r="AZ52" s="1176" t="s">
        <v>1356</v>
      </c>
      <c r="BE52" s="1176">
        <v>2050</v>
      </c>
      <c r="BH52" s="1124" t="s">
        <v>1783</v>
      </c>
      <c r="BJ52" s="1273" t="s">
        <v>1180</v>
      </c>
      <c r="BL52" s="1273" t="s">
        <v>1180</v>
      </c>
    </row>
    <row customHeight="1" ht="11.25">
      <c r="A53" s="1130" t="s">
        <v>1809</v>
      </c>
      <c r="E53" s="463" t="s">
        <v>1810</v>
      </c>
      <c r="F53" s="1171" t="s">
        <v>1810</v>
      </c>
      <c r="G53" s="1172" t="str">
        <f>_xlfn.IFERROR(IF(f_year="","01.01."&amp;CURRENT_YEAR,"01.01."&amp;f_year),"01.01."&amp;CURRENT_YEAR)</f>
        <v>01.01.2025</v>
      </c>
      <c r="H53" s="1172" t="str">
        <f>_xlfn.IFERROR(IF(f_year="","31.12."&amp;CURRENT_YEAR,"31.12."&amp;f_year),"31.12."&amp;CURRENT_YEAR)</f>
        <v>31.12.2025</v>
      </c>
      <c r="I53" s="1798">
        <f>IF(AND(f_year="",TITLE_DATE_FIL=""),TRUE,FALSE)</f>
        <v>1</v>
      </c>
      <c r="J53" s="1801" t="s">
        <v>1811</v>
      </c>
      <c r="K53" s="1802"/>
      <c r="AX53" s="1176" t="s">
        <v>1812</v>
      </c>
      <c r="BE53" s="1176">
        <v>2051</v>
      </c>
      <c r="BH53" s="1124" t="s">
        <v>1787</v>
      </c>
      <c r="BJ53" s="1273" t="s">
        <v>1759</v>
      </c>
      <c r="BL53" s="1273" t="s">
        <v>1759</v>
      </c>
    </row>
    <row customHeight="1" ht="11.25">
      <c r="A54" s="1130" t="s">
        <v>1813</v>
      </c>
      <c r="AX54" s="1176" t="s">
        <v>1814</v>
      </c>
      <c r="AZ54" s="1123" t="s">
        <v>1815</v>
      </c>
      <c r="BE54" s="1176">
        <v>2052</v>
      </c>
      <c r="BH54" s="1124" t="s">
        <v>1793</v>
      </c>
      <c r="BJ54" s="1273" t="s">
        <v>1763</v>
      </c>
      <c r="BL54" s="1273" t="s">
        <v>1763</v>
      </c>
    </row>
    <row customHeight="1" ht="11.25">
      <c r="A55" s="1130" t="s">
        <v>1816</v>
      </c>
      <c r="AX55" s="1176" t="s">
        <v>1817</v>
      </c>
      <c r="AZ55" s="1176" t="s">
        <v>1358</v>
      </c>
      <c r="BE55" s="1176">
        <v>2053</v>
      </c>
      <c r="BH55" s="1126" t="s">
        <v>28</v>
      </c>
      <c r="BJ55" s="1273" t="s">
        <v>1181</v>
      </c>
      <c r="BL55" s="1273" t="s">
        <v>1181</v>
      </c>
    </row>
    <row customHeight="1" ht="11.25">
      <c r="A56" s="1130" t="s">
        <v>1818</v>
      </c>
      <c r="D56" s="1174" t="s">
        <v>1819</v>
      </c>
      <c r="E56" s="1151" t="s">
        <v>1820</v>
      </c>
      <c r="F56" s="1130" t="s">
        <v>1821</v>
      </c>
      <c r="AX56" s="1176" t="s">
        <v>1822</v>
      </c>
      <c r="AZ56" s="1176" t="s">
        <v>1383</v>
      </c>
      <c r="BE56" s="1176">
        <v>2054</v>
      </c>
      <c r="BH56" s="1126" t="s">
        <v>28</v>
      </c>
      <c r="BJ56" s="1273" t="s">
        <v>1770</v>
      </c>
      <c r="BL56" s="1273" t="s">
        <v>1770</v>
      </c>
    </row>
    <row customHeight="1" ht="11.25">
      <c r="A57" s="1130" t="s">
        <v>1823</v>
      </c>
      <c r="D57" s="1174" t="s">
        <v>1824</v>
      </c>
      <c r="E57" s="1151" t="s">
        <v>122</v>
      </c>
      <c r="F57" s="1130" t="s">
        <v>1821</v>
      </c>
      <c r="AX57" s="1176" t="s">
        <v>1825</v>
      </c>
      <c r="AZ57" s="1176" t="s">
        <v>1418</v>
      </c>
      <c r="BE57" s="1176">
        <v>2055</v>
      </c>
      <c r="BJ57" s="1273" t="s">
        <v>1779</v>
      </c>
      <c r="BL57" s="1273" t="s">
        <v>1779</v>
      </c>
    </row>
    <row customHeight="1" ht="11.25">
      <c r="A58" s="1130" t="s">
        <v>1826</v>
      </c>
      <c r="D58" s="1174" t="s">
        <v>1827</v>
      </c>
      <c r="E58" s="1151" t="s">
        <v>122</v>
      </c>
      <c r="F58" s="1130" t="s">
        <v>1821</v>
      </c>
      <c r="AX58" s="1176" t="s">
        <v>1828</v>
      </c>
      <c r="BE58" s="1176">
        <v>2056</v>
      </c>
      <c r="BJ58" s="1273" t="s">
        <v>1783</v>
      </c>
      <c r="BL58" s="1273" t="s">
        <v>1783</v>
      </c>
    </row>
    <row customHeight="1" ht="11.25">
      <c r="A59" s="1130" t="s">
        <v>1829</v>
      </c>
      <c r="D59" s="1174" t="s">
        <v>210</v>
      </c>
      <c r="E59" s="1151" t="s">
        <v>1716</v>
      </c>
      <c r="F59" s="1130" t="s">
        <v>1830</v>
      </c>
      <c r="AX59" s="1176" t="s">
        <v>1831</v>
      </c>
      <c r="AZ59" s="1123" t="s">
        <v>1832</v>
      </c>
      <c r="BE59" s="1176">
        <v>2057</v>
      </c>
      <c r="BJ59" s="1273" t="s">
        <v>1787</v>
      </c>
      <c r="BL59" s="1273" t="s">
        <v>1787</v>
      </c>
    </row>
    <row customHeight="1" ht="11.25">
      <c r="A60" s="1130" t="s">
        <v>1833</v>
      </c>
      <c r="D60" s="1174" t="s">
        <v>1834</v>
      </c>
      <c r="E60" s="1151" t="s">
        <v>1716</v>
      </c>
      <c r="F60" s="1130" t="s">
        <v>1830</v>
      </c>
      <c r="AX60" s="1176" t="s">
        <v>1835</v>
      </c>
      <c r="AZ60" s="1176" t="s">
        <v>1359</v>
      </c>
      <c r="BE60" s="1176">
        <v>2058</v>
      </c>
      <c r="BJ60" s="1273" t="s">
        <v>1793</v>
      </c>
      <c r="BL60" s="1273" t="s">
        <v>1793</v>
      </c>
    </row>
    <row customHeight="1" ht="11.25">
      <c r="A61" s="1130" t="s">
        <v>1836</v>
      </c>
      <c r="D61" s="1174" t="s">
        <v>1837</v>
      </c>
      <c r="E61" s="1151" t="s">
        <v>1716</v>
      </c>
      <c r="F61" s="1130" t="s">
        <v>1830</v>
      </c>
      <c r="AX61" s="1176" t="s">
        <v>1838</v>
      </c>
      <c r="AZ61" s="1176" t="s">
        <v>1384</v>
      </c>
      <c r="BE61" s="1176">
        <v>2059</v>
      </c>
      <c r="BL61" s="1273" t="s">
        <v>1173</v>
      </c>
    </row>
    <row customHeight="1" ht="11.25">
      <c r="A62" s="1130" t="s">
        <v>1839</v>
      </c>
      <c r="D62" s="1174" t="s">
        <v>209</v>
      </c>
      <c r="E62" s="1151">
        <v>46</v>
      </c>
      <c r="F62" s="1130" t="s">
        <v>1830</v>
      </c>
      <c r="AZ62" s="1176" t="s">
        <v>1419</v>
      </c>
      <c r="BE62" s="1176">
        <v>2060</v>
      </c>
      <c r="BL62" s="1273" t="s">
        <v>1175</v>
      </c>
    </row>
    <row customHeight="1" ht="11.25">
      <c r="A63" s="1130" t="s">
        <v>1840</v>
      </c>
      <c r="D63" s="1174" t="s">
        <v>1841</v>
      </c>
      <c r="E63" s="1151">
        <v>48</v>
      </c>
      <c r="F63" s="1130" t="s">
        <v>1830</v>
      </c>
      <c r="AZ63" s="1176" t="s">
        <v>1450</v>
      </c>
      <c r="BE63" s="1176">
        <v>2061</v>
      </c>
    </row>
    <row customHeight="1" ht="11.25">
      <c r="A64" s="1130" t="s">
        <v>1842</v>
      </c>
      <c r="D64" s="1174" t="s">
        <v>1843</v>
      </c>
      <c r="E64" s="1151">
        <v>48</v>
      </c>
      <c r="F64" s="1130" t="s">
        <v>1830</v>
      </c>
      <c r="AZ64" s="1176" t="s">
        <v>1473</v>
      </c>
      <c r="BE64" s="1176">
        <v>2062</v>
      </c>
    </row>
    <row customHeight="1" ht="11.25">
      <c r="A65" s="1130" t="s">
        <v>1844</v>
      </c>
      <c r="D65" s="1130"/>
      <c r="BE65" s="1176">
        <v>2063</v>
      </c>
    </row>
    <row customHeight="1" ht="11.25">
      <c r="A66" s="1130" t="s">
        <v>1845</v>
      </c>
      <c r="AZ66" s="1123" t="s">
        <v>1846</v>
      </c>
      <c r="BE66" s="1176">
        <v>2064</v>
      </c>
    </row>
    <row customHeight="1" ht="11.25">
      <c r="A67" s="1130" t="s">
        <v>1847</v>
      </c>
      <c r="AZ67" s="1176" t="s">
        <v>1360</v>
      </c>
      <c r="BE67" s="1176">
        <v>2065</v>
      </c>
    </row>
    <row customHeight="1" ht="11.25">
      <c r="A68" s="1130" t="s">
        <v>1848</v>
      </c>
      <c r="AZ68" s="1176" t="s">
        <v>1385</v>
      </c>
      <c r="BE68" s="1176">
        <v>2066</v>
      </c>
      <c r="BH68" s="1123" t="s">
        <v>1849</v>
      </c>
      <c r="BJ68" s="1123" t="s">
        <v>1850</v>
      </c>
      <c r="BL68" s="1123" t="s">
        <v>1851</v>
      </c>
      <c r="BN68" s="1123" t="s">
        <v>1852</v>
      </c>
    </row>
    <row customHeight="1" ht="11.25">
      <c r="A69" s="1130" t="s">
        <v>1853</v>
      </c>
      <c r="AZ69" s="1176" t="s">
        <v>1420</v>
      </c>
      <c r="BE69" s="1176">
        <v>2067</v>
      </c>
      <c r="BH69" s="1124" t="s">
        <v>1854</v>
      </c>
      <c r="BI69" s="1173" t="s">
        <v>191</v>
      </c>
      <c r="BJ69" s="1124" t="s">
        <v>1855</v>
      </c>
      <c r="BK69" s="1173" t="s">
        <v>191</v>
      </c>
      <c r="BL69" s="1124" t="s">
        <v>1856</v>
      </c>
      <c r="BM69" s="1126" t="s">
        <v>191</v>
      </c>
      <c r="BN69" s="1124" t="s">
        <v>1857</v>
      </c>
    </row>
    <row customHeight="1" ht="11.25">
      <c r="A70" s="1130" t="s">
        <v>1858</v>
      </c>
      <c r="AZ70" s="1176" t="s">
        <v>1451</v>
      </c>
      <c r="BE70" s="1176">
        <v>2068</v>
      </c>
      <c r="BH70" s="1124" t="s">
        <v>1859</v>
      </c>
      <c r="BJ70" s="1124" t="s">
        <v>1860</v>
      </c>
      <c r="BL70" s="1124" t="s">
        <v>1861</v>
      </c>
      <c r="BN70" s="1124" t="s">
        <v>1862</v>
      </c>
    </row>
    <row customHeight="1" ht="11.25">
      <c r="A71" s="1130" t="s">
        <v>1863</v>
      </c>
      <c r="AZ71" s="1176" t="s">
        <v>1453</v>
      </c>
      <c r="BE71" s="1176">
        <v>2069</v>
      </c>
      <c r="BH71" s="1124" t="s">
        <v>1864</v>
      </c>
      <c r="BI71" s="1173" t="s">
        <v>94</v>
      </c>
      <c r="BJ71" s="1124" t="s">
        <v>1865</v>
      </c>
      <c r="BK71" s="1173" t="s">
        <v>94</v>
      </c>
      <c r="BL71" s="1124" t="s">
        <v>1866</v>
      </c>
      <c r="BM71" s="1126" t="s">
        <v>94</v>
      </c>
      <c r="BN71" s="1124" t="s">
        <v>1867</v>
      </c>
    </row>
    <row customHeight="1" ht="11.25">
      <c r="A72" s="1130" t="s">
        <v>1868</v>
      </c>
      <c r="AZ72" s="1176" t="s">
        <v>19</v>
      </c>
      <c r="BE72" s="1176">
        <v>2070</v>
      </c>
      <c r="BH72" s="1124" t="s">
        <v>1869</v>
      </c>
      <c r="BJ72" s="1124" t="s">
        <v>1869</v>
      </c>
      <c r="BL72" s="1124" t="s">
        <v>1869</v>
      </c>
      <c r="BN72" s="1124" t="s">
        <v>1870</v>
      </c>
    </row>
    <row customHeight="1" ht="11.25">
      <c r="A73" s="1130" t="s">
        <v>1871</v>
      </c>
      <c r="BH73" s="1124" t="s">
        <v>1872</v>
      </c>
      <c r="BI73" s="1173" t="s">
        <v>122</v>
      </c>
      <c r="BJ73" s="1124" t="s">
        <v>1873</v>
      </c>
      <c r="BK73" s="1173" t="s">
        <v>122</v>
      </c>
      <c r="BL73" s="1124" t="s">
        <v>1874</v>
      </c>
      <c r="BM73" s="1126" t="s">
        <v>122</v>
      </c>
      <c r="BN73" s="1124" t="s">
        <v>1875</v>
      </c>
    </row>
    <row customHeight="1" ht="11.25">
      <c r="A74" s="1130" t="s">
        <v>1876</v>
      </c>
      <c r="BH74" s="1124" t="s">
        <v>1877</v>
      </c>
      <c r="BJ74" s="1124" t="s">
        <v>1878</v>
      </c>
      <c r="BL74" s="1124" t="s">
        <v>1879</v>
      </c>
      <c r="BN74" s="1124" t="s">
        <v>1880</v>
      </c>
    </row>
    <row customHeight="1" ht="11.25">
      <c r="A75" s="1130" t="s">
        <v>1881</v>
      </c>
      <c r="AZ75" s="1123" t="s">
        <v>1882</v>
      </c>
      <c r="BH75" s="1124" t="s">
        <v>1883</v>
      </c>
      <c r="BJ75" s="1124" t="s">
        <v>1883</v>
      </c>
      <c r="BL75" s="1124" t="s">
        <v>1883</v>
      </c>
    </row>
    <row customHeight="1" ht="11.25">
      <c r="A76" s="1130" t="s">
        <v>1884</v>
      </c>
      <c r="AZ76" s="1176" t="s">
        <v>1369</v>
      </c>
      <c r="BH76" s="1124" t="s">
        <v>1885</v>
      </c>
      <c r="BJ76" s="1124" t="s">
        <v>1886</v>
      </c>
      <c r="BL76" s="1124" t="s">
        <v>1887</v>
      </c>
    </row>
    <row customHeight="1" ht="11.25">
      <c r="A77" s="1130" t="s">
        <v>1888</v>
      </c>
      <c r="AZ77" s="1176" t="s">
        <v>1395</v>
      </c>
    </row>
    <row customHeight="1" ht="11.25">
      <c r="A78" s="1130" t="s">
        <v>1889</v>
      </c>
      <c r="AZ78" s="1176" t="s">
        <v>1427</v>
      </c>
    </row>
    <row customHeight="1" ht="11.25">
      <c r="A79" s="1130" t="s">
        <v>1890</v>
      </c>
      <c r="AZ79" s="1176" t="s">
        <v>1457</v>
      </c>
      <c r="BH79" s="1123" t="s">
        <v>1891</v>
      </c>
      <c r="BJ79" s="1123" t="s">
        <v>1892</v>
      </c>
      <c r="BL79" s="1123" t="s">
        <v>1893</v>
      </c>
    </row>
    <row customHeight="1" ht="11.25">
      <c r="A80" s="1130" t="s">
        <v>1894</v>
      </c>
      <c r="AZ80" s="1176" t="s">
        <v>1478</v>
      </c>
      <c r="BH80" s="1124" t="s">
        <v>1895</v>
      </c>
      <c r="BJ80" s="1124" t="s">
        <v>1896</v>
      </c>
      <c r="BL80" s="1124" t="s">
        <v>1897</v>
      </c>
    </row>
    <row customHeight="1" ht="11.25">
      <c r="A81" s="1130" t="s">
        <v>1898</v>
      </c>
      <c r="AZ81" s="1176" t="s">
        <v>1495</v>
      </c>
      <c r="BH81" s="1124" t="s">
        <v>1899</v>
      </c>
      <c r="BJ81" s="1124" t="s">
        <v>1900</v>
      </c>
      <c r="BL81" s="1124" t="s">
        <v>1901</v>
      </c>
    </row>
    <row customHeight="1" ht="11.25">
      <c r="A82" s="1130" t="s">
        <v>1902</v>
      </c>
      <c r="AZ82" s="1176" t="s">
        <v>1510</v>
      </c>
      <c r="BH82" s="1124" t="s">
        <v>1903</v>
      </c>
      <c r="BJ82" s="1124" t="s">
        <v>1904</v>
      </c>
      <c r="BL82" s="1124" t="s">
        <v>1905</v>
      </c>
    </row>
    <row customHeight="1" ht="11.25">
      <c r="A83" s="1130" t="s">
        <v>1906</v>
      </c>
      <c r="BH83" s="1124" t="s">
        <v>1907</v>
      </c>
      <c r="BJ83" s="1124" t="s">
        <v>1908</v>
      </c>
      <c r="BL83" s="1124" t="s">
        <v>1909</v>
      </c>
    </row>
    <row customHeight="1" ht="11.25">
      <c r="A84" s="1130" t="s">
        <v>1910</v>
      </c>
      <c r="AZ84" s="1123" t="s">
        <v>1911</v>
      </c>
    </row>
    <row customHeight="1" ht="11.25">
      <c r="A85" s="1926" t="s">
        <v>1912</v>
      </c>
      <c r="AZ85" s="1176" t="s">
        <v>1913</v>
      </c>
    </row>
    <row customHeight="1" ht="11.25">
      <c r="A86" s="1130" t="s">
        <v>1914</v>
      </c>
      <c r="AZ86" s="1176" t="s">
        <v>1915</v>
      </c>
      <c r="BH86" s="1123" t="s">
        <v>1916</v>
      </c>
      <c r="BJ86" s="1123" t="s">
        <v>1917</v>
      </c>
      <c r="BL86" s="1123" t="s">
        <v>1918</v>
      </c>
    </row>
    <row customHeight="1" ht="11.25">
      <c r="A87" s="1130" t="s">
        <v>1919</v>
      </c>
      <c r="AZ87" s="1176" t="s">
        <v>1920</v>
      </c>
      <c r="BH87" s="1124" t="s">
        <v>1921</v>
      </c>
      <c r="BJ87" s="1124" t="s">
        <v>1922</v>
      </c>
      <c r="BL87" s="1124" t="s">
        <v>1923</v>
      </c>
    </row>
    <row customHeight="1" ht="11.25">
      <c r="A88" s="1130" t="s">
        <v>1924</v>
      </c>
      <c r="AZ88" s="1662"/>
      <c r="BH88" s="1124" t="s">
        <v>1925</v>
      </c>
      <c r="BJ88" s="1124" t="s">
        <v>1926</v>
      </c>
      <c r="BL88" s="1124" t="s">
        <v>1927</v>
      </c>
    </row>
    <row customHeight="1" ht="11.25">
      <c r="A89" s="1130" t="s">
        <v>1928</v>
      </c>
      <c r="AZ89" s="1123" t="s">
        <v>1929</v>
      </c>
    </row>
    <row customHeight="1" ht="11.25">
      <c r="A90" s="1130" t="s">
        <v>1930</v>
      </c>
      <c r="AZ90" s="1176" t="s">
        <v>1151</v>
      </c>
    </row>
    <row customHeight="1" ht="11.25">
      <c r="A91" s="1130" t="s">
        <v>1931</v>
      </c>
      <c r="AZ91" s="1176" t="s">
        <v>1187</v>
      </c>
      <c r="BH91" s="1123" t="s">
        <v>1932</v>
      </c>
      <c r="BJ91" s="1123" t="s">
        <v>1933</v>
      </c>
      <c r="BL91" s="1123" t="s">
        <v>1934</v>
      </c>
    </row>
    <row customHeight="1" ht="11.25">
      <c r="AZ92" s="1176" t="s">
        <v>1935</v>
      </c>
      <c r="BH92" s="1124" t="s">
        <v>1936</v>
      </c>
      <c r="BJ92" s="1124" t="s">
        <v>1937</v>
      </c>
      <c r="BL92" s="1124" t="s">
        <v>1938</v>
      </c>
    </row>
    <row customHeight="1" ht="11.25">
      <c r="AZ93" s="1176" t="s">
        <v>1939</v>
      </c>
      <c r="BH93" s="1124" t="s">
        <v>1940</v>
      </c>
      <c r="BJ93" s="1124" t="s">
        <v>1941</v>
      </c>
      <c r="BL93" s="1124" t="s">
        <v>1942</v>
      </c>
    </row>
    <row customHeight="1" ht="11.25">
      <c r="AZ94" s="1176" t="s">
        <v>1943</v>
      </c>
    </row>
    <row r="96" customHeight="1" ht="11.25">
      <c r="AZ96" s="1123" t="s">
        <v>1944</v>
      </c>
      <c r="BH96" s="1123" t="s">
        <v>1945</v>
      </c>
      <c r="BJ96" s="1123" t="s">
        <v>1946</v>
      </c>
      <c r="BL96" s="1123" t="s">
        <v>1947</v>
      </c>
      <c r="BN96" s="1123" t="s">
        <v>1948</v>
      </c>
    </row>
    <row customHeight="1" ht="11.25">
      <c r="AZ97" s="1957" t="s">
        <v>1949</v>
      </c>
      <c r="BA97" s="1958" t="s">
        <v>1950</v>
      </c>
      <c r="BH97" s="1124" t="s">
        <v>1951</v>
      </c>
      <c r="BJ97" s="1124" t="s">
        <v>1952</v>
      </c>
      <c r="BL97" s="1124" t="s">
        <v>1953</v>
      </c>
      <c r="BN97" s="1124" t="s">
        <v>1954</v>
      </c>
    </row>
    <row customHeight="1" ht="11.25">
      <c r="AZ98" s="1957" t="s">
        <v>1955</v>
      </c>
      <c r="BA98" s="1958" t="s">
        <v>1956</v>
      </c>
      <c r="BH98" s="1124" t="s">
        <v>1957</v>
      </c>
      <c r="BJ98" s="1124" t="s">
        <v>1958</v>
      </c>
      <c r="BL98" s="1124" t="s">
        <v>1959</v>
      </c>
      <c r="BN98" s="1124" t="s">
        <v>1960</v>
      </c>
    </row>
    <row customHeight="1" ht="22.5">
      <c r="AZ99" s="1957" t="s">
        <v>1961</v>
      </c>
      <c r="BA99" s="195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124" t="s">
        <v>1962</v>
      </c>
      <c r="BJ99" s="1124" t="s">
        <v>1963</v>
      </c>
      <c r="BL99" s="1124" t="s">
        <v>1964</v>
      </c>
      <c r="BN99" s="1124" t="s">
        <v>1965</v>
      </c>
    </row>
    <row customHeight="1" ht="22.5">
      <c r="AZ100" s="1957" t="s">
        <v>1966</v>
      </c>
      <c r="BA100" s="195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124" t="s">
        <v>1556</v>
      </c>
      <c r="BL100" s="1124" t="s">
        <v>1556</v>
      </c>
      <c r="BN100" s="1124" t="s">
        <v>1967</v>
      </c>
    </row>
    <row customHeight="1" ht="22.5">
      <c r="AZ101" s="1957" t="s">
        <v>1968</v>
      </c>
      <c r="BA101" s="1958" t="s">
        <v>1969</v>
      </c>
      <c r="BN101" s="1124" t="s">
        <v>1970</v>
      </c>
    </row>
    <row customHeight="1" ht="22.5">
      <c r="AZ102" s="1957" t="s">
        <v>1971</v>
      </c>
      <c r="BA102" s="195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124" t="s">
        <v>1972</v>
      </c>
    </row>
    <row customHeight="1" ht="11.25">
      <c r="AZ103" s="1957" t="s">
        <v>1973</v>
      </c>
      <c r="BA103" s="1958" t="s">
        <v>1974</v>
      </c>
      <c r="BN103" s="1124" t="s">
        <v>1975</v>
      </c>
    </row>
    <row customHeight="1" ht="11.25">
      <c r="BN104" s="1124" t="s">
        <v>1976</v>
      </c>
    </row>
    <row customHeight="1" ht="11.25">
      <c r="AZ105" s="1748" t="s">
        <v>1977</v>
      </c>
    </row>
    <row customHeight="1" ht="11.25">
      <c r="AZ106" s="1176" t="s">
        <v>1978</v>
      </c>
    </row>
    <row customHeight="1" ht="11.25">
      <c r="AZ107" s="1176" t="s">
        <v>1979</v>
      </c>
      <c r="BH107" s="1123" t="s">
        <v>1980</v>
      </c>
      <c r="BJ107" s="1123" t="s">
        <v>1981</v>
      </c>
      <c r="BL107" s="1123" t="s">
        <v>1982</v>
      </c>
      <c r="BN107" s="1123" t="s">
        <v>1983</v>
      </c>
    </row>
    <row customHeight="1" ht="11.25">
      <c r="AZ108" s="1176" t="s">
        <v>704</v>
      </c>
      <c r="BH108" s="1124" t="s">
        <v>1984</v>
      </c>
      <c r="BJ108" s="1124" t="s">
        <v>1985</v>
      </c>
      <c r="BL108" s="1124" t="s">
        <v>1639</v>
      </c>
      <c r="BN108" s="1124" t="s">
        <v>1986</v>
      </c>
    </row>
    <row customHeight="1" ht="11.25">
      <c r="BH109" s="1124" t="s">
        <v>1987</v>
      </c>
    </row>
    <row customHeight="1" ht="11.25">
      <c r="AZ110" s="1748" t="s">
        <v>1988</v>
      </c>
      <c r="BH110" s="1124" t="s">
        <v>1987</v>
      </c>
    </row>
    <row customHeight="1" ht="11.25">
      <c r="AZ111" s="1957" t="s">
        <v>1949</v>
      </c>
      <c r="BA111" s="1958" t="s">
        <v>1950</v>
      </c>
    </row>
    <row customHeight="1" ht="11.25">
      <c r="AZ112" s="1957" t="s">
        <v>1955</v>
      </c>
      <c r="BA112" s="1958" t="s">
        <v>1956</v>
      </c>
    </row>
    <row customHeight="1" ht="22.5">
      <c r="AZ113" s="1957" t="s">
        <v>1961</v>
      </c>
      <c r="BA113" s="195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57" t="s">
        <v>1966</v>
      </c>
      <c r="BA114" s="195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123" t="s">
        <v>1989</v>
      </c>
    </row>
    <row customHeight="1" ht="22.5">
      <c r="AZ115" s="1957" t="s">
        <v>1971</v>
      </c>
      <c r="BA115" s="195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124" t="s">
        <v>1356</v>
      </c>
    </row>
    <row customHeight="1" ht="11.25">
      <c r="AZ116" s="1957" t="s">
        <v>1973</v>
      </c>
      <c r="BA116" s="1958" t="s">
        <v>1974</v>
      </c>
      <c r="BH116" s="1124" t="s">
        <v>1382</v>
      </c>
    </row>
    <row customHeight="1" ht="11.25">
      <c r="BH117" s="1124" t="s">
        <v>1416</v>
      </c>
    </row>
    <row customHeight="1" ht="11.25">
      <c r="BH118" s="1124" t="s">
        <v>1449</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039DEF-01A8-6F6C-2481-B06C282F1401}" mc:Ignorable="x14ac xr xr2 xr3">
  <dimension ref="A1:J25"/>
  <sheetViews>
    <sheetView topLeftCell="A1" showGridLines="0" zoomScale="90" workbookViewId="0">
      <selection activeCell="A1" sqref="A1"/>
    </sheetView>
  </sheetViews>
  <sheetFormatPr defaultColWidth="9.140625" customHeight="1" defaultRowHeight="11.25"/>
  <cols>
    <col min="1" max="2" style="3319" width="15.00390625" hidden="1" customWidth="1"/>
    <col min="3" max="3" style="3317" width="3.00390625" customWidth="1"/>
    <col min="4" max="4" style="3399" width="6.00390625" customWidth="1"/>
    <col min="5" max="5" style="3317" width="52.00390625" customWidth="1"/>
    <col min="6" max="6" style="3317" width="48.00390625" customWidth="1"/>
    <col min="7" max="7" style="3317" width="93.00390625" customWidth="1"/>
    <col min="8" max="8" style="3317" width="8.00390625" customWidth="1"/>
    <col min="9" max="9" style="3317" width="64.00390625" customWidth="1"/>
    <col min="10" max="10" style="3317" width="9.140625" hidden="1"/>
  </cols>
  <sheetData>
    <row customHeight="1" ht="11.25" hidden="1">
      <c r="A1" s="557" t="s">
        <v>431</v>
      </c>
      <c r="J1" s="511" t="s">
        <v>14</v>
      </c>
    </row>
    <row customHeight="1" ht="22.5" hidden="1">
      <c r="A2" s="558"/>
      <c r="B2" s="558"/>
      <c r="C2" s="1786" t="s">
        <v>109</v>
      </c>
      <c r="D2" s="1576"/>
      <c r="E2" s="1582"/>
      <c r="F2" s="1605"/>
      <c r="H2" s="531"/>
      <c r="J2" s="511">
        <v>0</v>
      </c>
    </row>
    <row customHeight="1" ht="11.25" hidden="1">
      <c r="J3" s="511">
        <v>0</v>
      </c>
    </row>
    <row customHeight="1" ht="11.549999999999999">
      <c r="A4" s="1606"/>
      <c r="B4" s="1606"/>
      <c r="J4" s="511">
        <v>11</v>
      </c>
    </row>
    <row customHeight="1" ht="27.299999999999997">
      <c r="D5" s="22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95"/>
      <c r="F5" s="2296"/>
      <c r="I5" s="771"/>
      <c r="J5" s="511">
        <v>26</v>
      </c>
    </row>
    <row customHeight="1" ht="18">
      <c r="D6" s="2232" t="str">
        <f>IF(region_name=0,"Не определено",region_name)</f>
        <v>Курская область</v>
      </c>
      <c r="E6" s="2232"/>
      <c r="F6" s="2232"/>
      <c r="I6" s="771"/>
      <c r="J6" s="511">
        <v>17</v>
      </c>
    </row>
    <row s="3318" customFormat="1" customHeight="1" ht="11.549999999999999">
      <c r="A7" s="557"/>
      <c r="B7" s="557"/>
      <c r="D7" s="770"/>
      <c r="E7" s="770"/>
      <c r="F7" s="808"/>
      <c r="G7" s="770"/>
      <c r="J7" s="533">
        <v>11</v>
      </c>
    </row>
    <row customHeight="1" ht="11.25" hidden="1">
      <c r="A8" s="558"/>
      <c r="B8" s="558"/>
      <c r="C8" s="513"/>
      <c r="D8" s="519"/>
      <c r="E8" s="2263"/>
      <c r="F8" s="2263"/>
      <c r="J8" s="511">
        <v>0</v>
      </c>
    </row>
    <row customHeight="1" ht="11.549999999999999">
      <c r="A9" s="558"/>
      <c r="B9" s="558"/>
      <c r="C9" s="513"/>
      <c r="D9" s="2260" t="s">
        <v>432</v>
      </c>
      <c r="E9" s="2261"/>
      <c r="F9" s="2261"/>
      <c r="G9" s="2264" t="s">
        <v>433</v>
      </c>
      <c r="J9" s="511">
        <v>11</v>
      </c>
    </row>
    <row customHeight="1" ht="11.549999999999999">
      <c r="A10" s="558"/>
      <c r="B10" s="558"/>
      <c r="C10" s="513"/>
      <c r="D10" s="1530" t="s">
        <v>92</v>
      </c>
      <c r="E10" s="1532" t="s">
        <v>434</v>
      </c>
      <c r="F10" s="1532" t="s">
        <v>435</v>
      </c>
      <c r="G10" s="2265"/>
      <c r="J10" s="511">
        <v>11</v>
      </c>
    </row>
    <row customHeight="1" ht="1.05">
      <c r="A11" s="558"/>
      <c r="B11" s="558"/>
      <c r="C11" s="513"/>
      <c r="D11" s="520"/>
      <c r="E11" s="520"/>
      <c r="F11" s="520"/>
      <c r="G11" s="520"/>
      <c r="J11" s="511">
        <v>1</v>
      </c>
    </row>
    <row customHeight="1" ht="24">
      <c r="A12" s="558"/>
      <c r="B12" s="558"/>
      <c r="C12" s="513"/>
      <c r="D12" s="1576">
        <v>1</v>
      </c>
      <c r="E12" s="53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64" t="str">
        <f>IF(org="","",org)</f>
        <v>МУП ЖКХ "Родник"</v>
      </c>
      <c r="G12" s="53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89"/>
      <c r="J12" s="511">
        <v>23</v>
      </c>
    </row>
    <row customHeight="1" ht="19.95">
      <c r="A13" s="558"/>
      <c r="B13" s="558"/>
      <c r="C13" s="513"/>
      <c r="D13" s="1576">
        <v>2</v>
      </c>
      <c r="E13" s="1583" t="s">
        <v>1990</v>
      </c>
      <c r="F13" s="1577" t="s">
        <v>438</v>
      </c>
      <c r="G13" s="530"/>
      <c r="H13" s="1589"/>
      <c r="J13" s="511">
        <v>19</v>
      </c>
    </row>
    <row customHeight="1" ht="19.95">
      <c r="A14" s="558"/>
      <c r="B14" s="558"/>
      <c r="C14" s="513"/>
      <c r="D14" s="1579" t="s">
        <v>841</v>
      </c>
      <c r="E14" s="1580" t="s">
        <v>1991</v>
      </c>
      <c r="F14" s="1582"/>
      <c r="G14" s="1581" t="s">
        <v>1992</v>
      </c>
      <c r="H14" s="1589"/>
      <c r="J14" s="511">
        <v>19</v>
      </c>
    </row>
    <row customHeight="1" ht="19.95">
      <c r="A15" s="558"/>
      <c r="B15" s="558"/>
      <c r="C15" s="513"/>
      <c r="D15" s="1579" t="s">
        <v>439</v>
      </c>
      <c r="E15" s="1580" t="s">
        <v>1993</v>
      </c>
      <c r="F15" s="1582"/>
      <c r="G15" s="1581" t="s">
        <v>1994</v>
      </c>
      <c r="H15" s="1589"/>
      <c r="J15" s="511">
        <v>19</v>
      </c>
    </row>
    <row customHeight="1" ht="24">
      <c r="A16" s="558"/>
      <c r="B16" s="558"/>
      <c r="C16" s="513"/>
      <c r="D16" s="1579" t="s">
        <v>442</v>
      </c>
      <c r="E16" s="1578" t="s">
        <v>1995</v>
      </c>
      <c r="F16" s="1587"/>
      <c r="G16" s="530" t="s">
        <v>1996</v>
      </c>
      <c r="H16" s="1589"/>
      <c r="J16" s="511">
        <v>23</v>
      </c>
    </row>
    <row customHeight="1" ht="48.29999999999999">
      <c r="A17" s="558"/>
      <c r="B17" s="558"/>
      <c r="C17" s="513"/>
      <c r="D17" s="1576">
        <v>3</v>
      </c>
      <c r="E17" s="1583" t="s">
        <v>1997</v>
      </c>
      <c r="F17" s="1582"/>
      <c r="G17" s="530" t="s">
        <v>1998</v>
      </c>
      <c r="H17" s="1589"/>
      <c r="J17" s="511">
        <v>46</v>
      </c>
    </row>
    <row customHeight="1" ht="48.29999999999999">
      <c r="A18" s="1531">
        <v>1</v>
      </c>
      <c r="B18" s="558"/>
      <c r="C18" s="1533"/>
      <c r="D18" s="1576" t="s">
        <v>95</v>
      </c>
      <c r="E18" s="1583" t="s">
        <v>1999</v>
      </c>
      <c r="F18" s="1582"/>
      <c r="G18" s="530" t="s">
        <v>1998</v>
      </c>
      <c r="H18" s="1589"/>
      <c r="I18" s="908"/>
      <c r="J18" s="511">
        <v>46</v>
      </c>
    </row>
    <row customHeight="1" ht="23.25">
      <c r="A19" s="558"/>
      <c r="B19" s="558"/>
      <c r="C19" s="513"/>
      <c r="D19" s="1576" t="s">
        <v>122</v>
      </c>
      <c r="E19" s="1583" t="s">
        <v>2000</v>
      </c>
      <c r="F19" s="1577" t="s">
        <v>438</v>
      </c>
      <c r="G19" s="2527" t="s">
        <v>2001</v>
      </c>
      <c r="H19" s="531"/>
      <c r="J19" s="511">
        <v>22</v>
      </c>
    </row>
    <row s="13129" customFormat="1" customHeight="1" ht="5.25" hidden="1">
      <c r="A20" s="558"/>
      <c r="B20" s="558"/>
      <c r="C20" s="1585"/>
      <c r="D20" s="1584" t="s">
        <v>1248</v>
      </c>
      <c r="E20" s="1070"/>
      <c r="F20" s="1069"/>
      <c r="G20" s="2528"/>
      <c r="J20" s="1586">
        <v>0</v>
      </c>
    </row>
    <row customHeight="1" ht="15.75">
      <c r="A21" s="558"/>
      <c r="B21" s="558"/>
      <c r="C21" s="513"/>
      <c r="D21" s="523"/>
      <c r="E21" s="471" t="s">
        <v>471</v>
      </c>
      <c r="F21" s="525"/>
      <c r="G21" s="2529"/>
      <c r="H21" s="1589"/>
      <c r="J21" s="511">
        <v>15</v>
      </c>
    </row>
    <row s="3319" customFormat="1" customHeight="1" ht="26.25">
      <c r="A22" s="558"/>
      <c r="B22" s="558"/>
      <c r="C22" s="558"/>
      <c r="D22" s="1576" t="s">
        <v>96</v>
      </c>
      <c r="E22" s="530" t="s">
        <v>2002</v>
      </c>
      <c r="F22" s="1582"/>
      <c r="G22" s="530" t="s">
        <v>2003</v>
      </c>
      <c r="H22" s="1588"/>
      <c r="J22" s="557">
        <v>25</v>
      </c>
    </row>
    <row s="3319" customFormat="1" customHeight="1" ht="19.95">
      <c r="A23" s="558"/>
      <c r="B23" s="558"/>
      <c r="C23" s="558"/>
      <c r="D23" s="1576" t="s">
        <v>97</v>
      </c>
      <c r="E23" s="1583" t="s">
        <v>2004</v>
      </c>
      <c r="F23" s="1587"/>
      <c r="G23" s="530" t="s">
        <v>2005</v>
      </c>
      <c r="H23" s="1588"/>
      <c r="J23" s="557">
        <v>19</v>
      </c>
    </row>
    <row s="3319" customFormat="1" customHeight="1" ht="144" hidden="1">
      <c r="A24" s="558"/>
      <c r="B24" s="558"/>
      <c r="C24" s="558"/>
      <c r="D24" s="1576" t="s">
        <v>135</v>
      </c>
      <c r="E24" s="195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54"/>
      <c r="G24" s="195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88"/>
      <c r="J24" s="557">
        <v>0</v>
      </c>
    </row>
    <row customHeight="1" ht="11.25" hidden="1">
      <c r="A25" s="557" t="s">
        <v>86</v>
      </c>
      <c r="B25" s="557">
        <v>0</v>
      </c>
      <c r="C25" s="511">
        <v>3</v>
      </c>
      <c r="D25" s="512">
        <v>6</v>
      </c>
      <c r="E25" s="511">
        <v>52</v>
      </c>
      <c r="F25" s="511">
        <v>48</v>
      </c>
      <c r="G25" s="511">
        <v>93</v>
      </c>
      <c r="H25" s="511">
        <v>8</v>
      </c>
      <c r="I25" s="511">
        <v>64</v>
      </c>
      <c r="J25" s="511">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DD7CDE-BED2-B6AF-7E8A-3A1497014A9B}" mc:Ignorable="x14ac xr xr2 xr3">
  <dimension ref="A1:IU24"/>
  <sheetViews>
    <sheetView topLeftCell="A1" showGridLines="0" zoomScale="90" workbookViewId="0">
      <selection activeCell="A1" sqref="A1"/>
    </sheetView>
  </sheetViews>
  <sheetFormatPr defaultColWidth="9.140625" customHeight="1" defaultRowHeight="14.25"/>
  <cols>
    <col min="1" max="1" style="2774" width="9.140625" hidden="1"/>
    <col min="2" max="2" style="2850" width="9.140625" hidden="1"/>
    <col min="3" max="3" style="2774" width="3.7109375" hidden="1" customWidth="1"/>
    <col min="4" max="4" style="2949" width="3.00390625" customWidth="1"/>
    <col min="5" max="5" style="2774" width="6.00390625" customWidth="1"/>
    <col min="6" max="6" style="2774" width="46.00390625" customWidth="1"/>
    <col min="7" max="8" style="2774" width="16.00390625" customWidth="1"/>
    <col min="9" max="9" style="2774" width="35.00390625" customWidth="1"/>
    <col min="10" max="10" style="2774" width="89.00390625" customWidth="1"/>
    <col min="11" max="11" style="2933" width="3.00390625" customWidth="1"/>
    <col min="12" max="14" style="2933" width="8.00390625" customWidth="1"/>
    <col min="15" max="15" style="2933" width="25.00390625" customWidth="1"/>
    <col min="16" max="16" style="2933" width="14.00390625" customWidth="1"/>
    <col min="17" max="20" style="2875" width="8.00390625" customWidth="1"/>
    <col min="21" max="254" style="2774" width="8.00390625" customWidth="1"/>
    <col min="255" max="255" style="2774" width="9.140625" hidden="1"/>
  </cols>
  <sheetData>
    <row customHeight="1" ht="22.5" hidden="1">
      <c r="F1" s="1687" t="s">
        <v>2006</v>
      </c>
      <c r="G1" s="1687" t="s">
        <v>53</v>
      </c>
      <c r="H1" s="1687" t="s">
        <v>55</v>
      </c>
      <c r="IU1" s="1211" t="s">
        <v>14</v>
      </c>
    </row>
    <row s="2911" customFormat="1" customHeight="1" ht="22.5" hidden="1">
      <c r="A2" s="887"/>
      <c r="B2" s="1216">
        <v>1</v>
      </c>
      <c r="C2" s="1216"/>
      <c r="D2" s="1984" t="s">
        <v>109</v>
      </c>
      <c r="E2" s="1540"/>
      <c r="F2" s="1547"/>
      <c r="G2" s="1547"/>
      <c r="H2" s="1547"/>
      <c r="I2" s="2040"/>
      <c r="J2" s="2041"/>
      <c r="K2" s="1591"/>
      <c r="L2" s="567"/>
      <c r="M2" s="567"/>
      <c r="N2" s="556" t="str">
        <f t="array" ref="N2:N2">IF(ISERROR(MATCH(MID(O2,1,250),MID(note_ter,1,250),0)),"n","y")</f>
        <v>n</v>
      </c>
      <c r="O2" s="567"/>
      <c r="P2" s="556" t="str">
        <f>G2&amp;"("&amp;J2&amp;")"</f>
        <v>()</v>
      </c>
      <c r="Q2" s="1216"/>
      <c r="R2" s="1216"/>
      <c r="S2" s="476"/>
      <c r="T2" s="1216"/>
      <c r="U2" s="1216"/>
      <c r="V2" s="1216"/>
      <c r="W2" s="478"/>
      <c r="X2" s="478"/>
      <c r="Y2" s="475"/>
      <c r="Z2" s="475"/>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475"/>
      <c r="BD2" s="475"/>
      <c r="BE2" s="475"/>
      <c r="BF2" s="475"/>
      <c r="BG2" s="475"/>
      <c r="BH2" s="475"/>
      <c r="BI2" s="475"/>
      <c r="BJ2" s="475"/>
      <c r="BK2" s="475"/>
      <c r="BL2" s="475"/>
      <c r="BM2" s="475"/>
      <c r="BN2" s="475"/>
      <c r="BO2" s="475"/>
      <c r="BP2" s="475"/>
      <c r="BQ2" s="475"/>
      <c r="BR2" s="475"/>
      <c r="BS2" s="475"/>
      <c r="BT2" s="478"/>
      <c r="BU2" s="478"/>
      <c r="BV2" s="478"/>
      <c r="BW2" s="478"/>
      <c r="BX2" s="478"/>
      <c r="BY2" s="478"/>
      <c r="BZ2" s="478"/>
      <c r="CA2" s="478"/>
      <c r="CB2" s="478"/>
      <c r="CC2" s="478"/>
      <c r="IU2" s="479">
        <v>0</v>
      </c>
    </row>
    <row s="2851" customFormat="1" customHeight="1" ht="4.2">
      <c r="A3" s="552"/>
      <c r="D3" s="550"/>
      <c r="F3" s="303" t="s">
        <v>87</v>
      </c>
      <c r="G3" s="550" t="s">
        <v>88</v>
      </c>
      <c r="H3" s="550"/>
      <c r="I3" s="550"/>
      <c r="J3" s="283" t="s">
        <v>89</v>
      </c>
      <c r="K3" s="303" t="s">
        <v>87</v>
      </c>
      <c r="L3" s="303"/>
      <c r="M3" s="303"/>
      <c r="N3" s="303"/>
      <c r="O3" s="304"/>
      <c r="P3" s="303"/>
      <c r="Q3" s="303"/>
      <c r="R3" s="303"/>
      <c r="S3" s="303"/>
      <c r="T3" s="303"/>
      <c r="U3" s="283"/>
      <c r="V3" s="28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567">
        <v>4</v>
      </c>
    </row>
    <row s="2866" customFormat="1" customHeight="1" ht="14.699999999999998">
      <c r="A4" s="1211"/>
      <c r="B4" s="1216"/>
      <c r="C4" s="1211"/>
      <c r="D4" s="1551"/>
      <c r="E4" s="565"/>
      <c r="F4" s="1698"/>
      <c r="G4" s="565"/>
      <c r="H4" s="565"/>
      <c r="I4" s="565"/>
      <c r="J4" s="222"/>
      <c r="K4" s="303"/>
      <c r="L4" s="556"/>
      <c r="M4" s="556"/>
      <c r="N4" s="556"/>
      <c r="O4" s="282"/>
      <c r="P4" s="556"/>
      <c r="Q4" s="281"/>
      <c r="R4" s="281"/>
      <c r="S4" s="281"/>
      <c r="T4" s="281"/>
      <c r="IU4" s="563">
        <v>14</v>
      </c>
    </row>
    <row s="2866" customFormat="1" customHeight="1" ht="27.299999999999997">
      <c r="A5" s="1211"/>
      <c r="B5" s="1216"/>
      <c r="C5" s="1211"/>
      <c r="D5" s="1551"/>
      <c r="E5" s="215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56"/>
      <c r="G5" s="2156"/>
      <c r="H5" s="2156"/>
      <c r="I5" s="2156"/>
      <c r="J5" s="2156"/>
      <c r="K5" s="303"/>
      <c r="L5" s="556"/>
      <c r="M5" s="556"/>
      <c r="N5" s="556"/>
      <c r="O5" s="282"/>
      <c r="P5" s="556"/>
      <c r="Q5" s="281"/>
      <c r="R5" s="281"/>
      <c r="S5" s="281"/>
      <c r="T5" s="281"/>
      <c r="IU5" s="563">
        <v>26</v>
      </c>
    </row>
    <row s="2866" customFormat="1" customHeight="1" ht="14.699999999999998">
      <c r="A6" s="1211"/>
      <c r="B6" s="1216"/>
      <c r="C6" s="1211"/>
      <c r="D6" s="1551"/>
      <c r="E6" s="565"/>
      <c r="F6" s="223"/>
      <c r="G6" s="223"/>
      <c r="H6" s="223"/>
      <c r="I6" s="223"/>
      <c r="J6" s="224"/>
      <c r="K6" s="556"/>
      <c r="L6" s="556"/>
      <c r="M6" s="556"/>
      <c r="N6" s="556"/>
      <c r="O6" s="282"/>
      <c r="P6" s="556"/>
      <c r="Q6" s="281"/>
      <c r="R6" s="281"/>
      <c r="S6" s="281"/>
      <c r="T6" s="281"/>
      <c r="IU6" s="563">
        <v>14</v>
      </c>
    </row>
    <row s="2866" customFormat="1" customHeight="1" ht="14.699999999999998">
      <c r="A7" s="1211"/>
      <c r="B7" s="1216"/>
      <c r="C7" s="1211"/>
      <c r="D7" s="1551"/>
      <c r="E7" s="2157" t="s">
        <v>432</v>
      </c>
      <c r="F7" s="2158"/>
      <c r="G7" s="2158"/>
      <c r="H7" s="2158"/>
      <c r="I7" s="2158"/>
      <c r="J7" s="2530" t="s">
        <v>433</v>
      </c>
      <c r="K7" s="556"/>
      <c r="L7" s="556"/>
      <c r="M7" s="556"/>
      <c r="N7" s="556"/>
      <c r="O7" s="282"/>
      <c r="P7" s="556"/>
      <c r="Q7" s="281"/>
      <c r="R7" s="281"/>
      <c r="S7" s="281"/>
      <c r="T7" s="281"/>
      <c r="IU7" s="563">
        <v>14</v>
      </c>
    </row>
    <row s="2866" customFormat="1" customHeight="1" ht="21">
      <c r="A8" s="1211"/>
      <c r="B8" s="1216"/>
      <c r="C8" s="1211"/>
      <c r="D8" s="1551"/>
      <c r="E8" s="1604" t="s">
        <v>92</v>
      </c>
      <c r="F8" s="1596" t="s">
        <v>2006</v>
      </c>
      <c r="G8" s="1596" t="s">
        <v>53</v>
      </c>
      <c r="H8" s="1596" t="s">
        <v>55</v>
      </c>
      <c r="I8" s="1596" t="s">
        <v>2007</v>
      </c>
      <c r="J8" s="2531"/>
      <c r="K8" s="556"/>
      <c r="L8" s="556"/>
      <c r="M8" s="556"/>
      <c r="N8" s="556"/>
      <c r="O8" s="282"/>
      <c r="P8" s="556"/>
      <c r="Q8" s="281"/>
      <c r="R8" s="281"/>
      <c r="S8" s="281"/>
      <c r="T8" s="281"/>
      <c r="IU8" s="563">
        <v>20</v>
      </c>
    </row>
    <row s="2911" customFormat="1" customHeight="1" ht="23.25">
      <c r="A9" s="1687"/>
      <c r="B9" s="1216">
        <v>1</v>
      </c>
      <c r="C9" s="1216"/>
      <c r="D9" s="857"/>
      <c r="E9" s="1540">
        <v>1</v>
      </c>
      <c r="F9" s="1603"/>
      <c r="G9" s="1547"/>
      <c r="H9" s="1547"/>
      <c r="I9" s="1594"/>
      <c r="J9" s="222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91"/>
      <c r="L9" s="567"/>
      <c r="M9" s="567"/>
      <c r="N9" s="556" t="str">
        <f t="array" ref="N9:N9">IF(ISERROR(MATCH(MID(O9,1,250),MID(note_ter,1,250),0)),"n","y")</f>
        <v>n</v>
      </c>
      <c r="O9" s="567"/>
      <c r="P9" s="55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16"/>
      <c r="R9" s="1216"/>
      <c r="S9" s="476"/>
      <c r="T9" s="1216"/>
      <c r="U9" s="1216"/>
      <c r="V9" s="1216"/>
      <c r="W9" s="478"/>
      <c r="X9" s="478"/>
      <c r="Y9" s="475"/>
      <c r="Z9" s="475"/>
      <c r="AA9" s="475"/>
      <c r="AB9" s="475"/>
      <c r="AC9" s="475"/>
      <c r="AD9" s="475"/>
      <c r="AE9" s="475"/>
      <c r="AF9" s="475"/>
      <c r="AG9" s="475"/>
      <c r="AH9" s="475"/>
      <c r="AI9" s="475"/>
      <c r="AJ9" s="475"/>
      <c r="AK9" s="475"/>
      <c r="AL9" s="475"/>
      <c r="AM9" s="475"/>
      <c r="AN9" s="475"/>
      <c r="AO9" s="475"/>
      <c r="AP9" s="475"/>
      <c r="AQ9" s="475"/>
      <c r="AR9" s="475"/>
      <c r="AS9" s="475"/>
      <c r="AT9" s="475"/>
      <c r="AU9" s="475"/>
      <c r="AV9" s="475"/>
      <c r="AW9" s="475"/>
      <c r="AX9" s="475"/>
      <c r="AY9" s="475"/>
      <c r="AZ9" s="475"/>
      <c r="BA9" s="475"/>
      <c r="BB9" s="475"/>
      <c r="BC9" s="475"/>
      <c r="BD9" s="475"/>
      <c r="BE9" s="475"/>
      <c r="BF9" s="475"/>
      <c r="BG9" s="475"/>
      <c r="BH9" s="475"/>
      <c r="BI9" s="475"/>
      <c r="BJ9" s="475"/>
      <c r="BK9" s="475"/>
      <c r="BL9" s="475"/>
      <c r="BM9" s="475"/>
      <c r="BN9" s="475"/>
      <c r="BO9" s="475"/>
      <c r="BP9" s="475"/>
      <c r="BQ9" s="475"/>
      <c r="BR9" s="475"/>
      <c r="BS9" s="475"/>
      <c r="BT9" s="478"/>
      <c r="BU9" s="478"/>
      <c r="BV9" s="478"/>
      <c r="BW9" s="478"/>
      <c r="BX9" s="478"/>
      <c r="BY9" s="478"/>
      <c r="BZ9" s="478"/>
      <c r="CA9" s="478"/>
      <c r="CB9" s="478"/>
      <c r="CC9" s="478"/>
      <c r="IU9" s="479">
        <v>22</v>
      </c>
    </row>
    <row s="2911" customFormat="1" customHeight="1" ht="15.75">
      <c r="A10" s="1687"/>
      <c r="B10" s="1216"/>
      <c r="C10" s="468"/>
      <c r="D10" s="857"/>
      <c r="E10" s="1597"/>
      <c r="F10" s="1556" t="s">
        <v>2008</v>
      </c>
      <c r="G10" s="1598"/>
      <c r="H10" s="1598"/>
      <c r="I10" s="1955"/>
      <c r="J10" s="2227"/>
      <c r="K10" s="1592"/>
      <c r="L10" s="567"/>
      <c r="M10" s="567"/>
      <c r="N10" s="567"/>
      <c r="O10" s="556"/>
      <c r="P10" s="567"/>
      <c r="Q10" s="1216"/>
      <c r="R10" s="1216"/>
      <c r="S10" s="476"/>
      <c r="T10" s="1216"/>
      <c r="U10" s="1216"/>
      <c r="V10" s="1216"/>
      <c r="W10" s="478"/>
      <c r="X10" s="478"/>
      <c r="Y10" s="475"/>
      <c r="Z10" s="475"/>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8"/>
      <c r="BU10" s="478"/>
      <c r="BV10" s="478"/>
      <c r="BW10" s="478"/>
      <c r="BX10" s="478"/>
      <c r="BY10" s="478"/>
      <c r="BZ10" s="478"/>
      <c r="CA10" s="478"/>
      <c r="CB10" s="478"/>
      <c r="CC10" s="478"/>
      <c r="IU10" s="479">
        <v>15</v>
      </c>
    </row>
    <row s="2866" customFormat="1" customHeight="1" ht="22.049999999999997">
      <c r="A11" s="1211"/>
      <c r="B11" s="1216"/>
      <c r="C11" s="1211"/>
      <c r="D11" s="507"/>
      <c r="E11" s="236"/>
      <c r="F11" s="236"/>
      <c r="G11" s="236"/>
      <c r="H11" s="236"/>
      <c r="I11" s="236"/>
      <c r="J11" s="236"/>
      <c r="K11" s="556"/>
      <c r="L11" s="556"/>
      <c r="M11" s="556"/>
      <c r="N11" s="556"/>
      <c r="O11" s="282"/>
      <c r="P11" s="556"/>
      <c r="Q11" s="281"/>
      <c r="R11" s="281"/>
      <c r="S11" s="281"/>
      <c r="T11" s="281"/>
      <c r="IU11" s="563">
        <v>21</v>
      </c>
    </row>
    <row s="2866" customFormat="1" customHeight="1" ht="14.699999999999998">
      <c r="A12" s="1211"/>
      <c r="B12" s="1216"/>
      <c r="C12" s="1211"/>
      <c r="D12" s="507"/>
      <c r="E12" s="1211"/>
      <c r="F12" s="1211"/>
      <c r="G12" s="1211"/>
      <c r="H12" s="1211"/>
      <c r="I12" s="1211"/>
      <c r="J12" s="1211"/>
      <c r="K12" s="556"/>
      <c r="L12" s="556"/>
      <c r="M12" s="556"/>
      <c r="N12" s="556"/>
      <c r="O12" s="282"/>
      <c r="P12" s="556"/>
      <c r="Q12" s="281"/>
      <c r="R12" s="281"/>
      <c r="S12" s="281"/>
      <c r="T12" s="281"/>
      <c r="IU12" s="563">
        <v>14</v>
      </c>
    </row>
    <row s="2866" customFormat="1" customHeight="1" ht="1.05">
      <c r="A13" s="1211"/>
      <c r="B13" s="1216"/>
      <c r="C13" s="1211"/>
      <c r="D13" s="507"/>
      <c r="E13" s="1211"/>
      <c r="F13" s="1211"/>
      <c r="G13" s="1211"/>
      <c r="H13" s="1211"/>
      <c r="I13" s="1211"/>
      <c r="J13" s="1211"/>
      <c r="K13" s="556"/>
      <c r="L13" s="556"/>
      <c r="M13" s="556"/>
      <c r="N13" s="556"/>
      <c r="O13" s="282"/>
      <c r="P13" s="556"/>
      <c r="Q13" s="281"/>
      <c r="R13" s="281"/>
      <c r="S13" s="281"/>
      <c r="T13" s="281"/>
      <c r="IU13" s="563">
        <v>1</v>
      </c>
    </row>
    <row s="2944" customFormat="1" customHeight="1" ht="10.5">
      <c r="B14" s="890"/>
      <c r="D14" s="238"/>
      <c r="K14" s="556"/>
      <c r="L14" s="556"/>
      <c r="M14" s="556"/>
      <c r="N14" s="556"/>
      <c r="O14" s="282"/>
      <c r="P14" s="556"/>
      <c r="Q14" s="281"/>
      <c r="R14" s="281"/>
      <c r="S14" s="281"/>
      <c r="T14" s="281"/>
      <c r="IU14" s="237">
        <v>10</v>
      </c>
    </row>
    <row s="2944" customFormat="1" customHeight="1" ht="10.5">
      <c r="B15" s="890"/>
      <c r="D15" s="238"/>
      <c r="K15" s="556"/>
      <c r="L15" s="556"/>
      <c r="M15" s="556"/>
      <c r="N15" s="556"/>
      <c r="O15" s="282"/>
      <c r="P15" s="556"/>
      <c r="Q15" s="281"/>
      <c r="R15" s="281"/>
      <c r="S15" s="281"/>
      <c r="T15" s="281"/>
      <c r="IU15" s="237">
        <v>10</v>
      </c>
    </row>
    <row customHeight="1" ht="14.699999999999998">
      <c r="IU16" s="1211">
        <v>14</v>
      </c>
    </row>
    <row customHeight="1" ht="14.699999999999998">
      <c r="IU17" s="1211">
        <v>14</v>
      </c>
    </row>
    <row customHeight="1" ht="14.699999999999998">
      <c r="IU18" s="1211">
        <v>14</v>
      </c>
    </row>
    <row customHeight="1" ht="14.699999999999998">
      <c r="G19" s="429"/>
      <c r="H19" s="429"/>
      <c r="I19" s="429"/>
      <c r="IU19" s="1211">
        <v>14</v>
      </c>
    </row>
    <row customHeight="1" ht="14.699999999999998">
      <c r="IU20" s="1211">
        <v>14</v>
      </c>
    </row>
    <row customHeight="1" ht="14.699999999999998">
      <c r="IU21" s="1211">
        <v>14</v>
      </c>
    </row>
    <row customHeight="1" ht="14.699999999999998">
      <c r="IU22" s="1211">
        <v>14</v>
      </c>
    </row>
    <row customHeight="1" ht="14.699999999999998">
      <c r="K23" s="1211"/>
      <c r="L23" s="1211"/>
      <c r="M23" s="1211"/>
      <c r="IU23" s="1211">
        <v>14</v>
      </c>
    </row>
    <row customHeight="1" ht="22.5" hidden="1">
      <c r="A24" s="1211" t="s">
        <v>86</v>
      </c>
      <c r="B24" s="1216">
        <v>0</v>
      </c>
      <c r="C24" s="1211">
        <v>0</v>
      </c>
      <c r="D24" s="507">
        <v>3</v>
      </c>
      <c r="E24" s="1211">
        <v>6</v>
      </c>
      <c r="F24" s="1211">
        <v>46</v>
      </c>
      <c r="G24" s="1211">
        <v>16</v>
      </c>
      <c r="H24" s="1211">
        <v>16</v>
      </c>
      <c r="I24" s="1211">
        <v>35</v>
      </c>
      <c r="J24" s="1211">
        <v>89</v>
      </c>
      <c r="K24" s="556">
        <v>3</v>
      </c>
      <c r="L24" s="556">
        <v>8</v>
      </c>
      <c r="M24" s="556">
        <v>8</v>
      </c>
      <c r="N24" s="556">
        <v>8</v>
      </c>
      <c r="O24" s="282">
        <v>25</v>
      </c>
      <c r="P24" s="556">
        <v>14</v>
      </c>
      <c r="Q24" s="281">
        <v>8</v>
      </c>
      <c r="R24" s="281">
        <v>8</v>
      </c>
      <c r="S24" s="281">
        <v>8</v>
      </c>
      <c r="T24" s="281">
        <v>8</v>
      </c>
      <c r="U24" s="1211">
        <v>8</v>
      </c>
      <c r="V24" s="1211">
        <v>8</v>
      </c>
      <c r="W24" s="1211">
        <v>8</v>
      </c>
      <c r="X24" s="1211">
        <v>8</v>
      </c>
      <c r="Y24" s="1211">
        <v>8</v>
      </c>
      <c r="Z24" s="1211">
        <v>8</v>
      </c>
      <c r="AA24" s="1211">
        <v>8</v>
      </c>
      <c r="AB24" s="1211">
        <v>8</v>
      </c>
      <c r="AC24" s="1211">
        <v>8</v>
      </c>
      <c r="AD24" s="1211">
        <v>8</v>
      </c>
      <c r="AE24" s="1211">
        <v>8</v>
      </c>
      <c r="AF24" s="1211">
        <v>8</v>
      </c>
      <c r="AG24" s="1211">
        <v>8</v>
      </c>
      <c r="AH24" s="1211">
        <v>8</v>
      </c>
      <c r="AI24" s="1211">
        <v>8</v>
      </c>
      <c r="AJ24" s="1211">
        <v>8</v>
      </c>
      <c r="AK24" s="1211">
        <v>8</v>
      </c>
      <c r="AL24" s="1211">
        <v>8</v>
      </c>
      <c r="AM24" s="1211">
        <v>8</v>
      </c>
      <c r="AN24" s="1211">
        <v>8</v>
      </c>
      <c r="AO24" s="1211">
        <v>8</v>
      </c>
      <c r="AP24" s="1211">
        <v>8</v>
      </c>
      <c r="AQ24" s="1211">
        <v>8</v>
      </c>
      <c r="AR24" s="1211">
        <v>8</v>
      </c>
      <c r="AS24" s="1211">
        <v>8</v>
      </c>
      <c r="AT24" s="1211">
        <v>8</v>
      </c>
      <c r="AU24" s="1211">
        <v>8</v>
      </c>
      <c r="AV24" s="1211">
        <v>8</v>
      </c>
      <c r="AW24" s="1211">
        <v>8</v>
      </c>
      <c r="AX24" s="1211">
        <v>8</v>
      </c>
      <c r="AY24" s="1211">
        <v>8</v>
      </c>
      <c r="AZ24" s="1211">
        <v>8</v>
      </c>
      <c r="BA24" s="1211">
        <v>8</v>
      </c>
      <c r="BB24" s="1211">
        <v>8</v>
      </c>
      <c r="BC24" s="1211">
        <v>8</v>
      </c>
      <c r="BD24" s="1211">
        <v>8</v>
      </c>
      <c r="BE24" s="1211">
        <v>8</v>
      </c>
      <c r="BF24" s="1211">
        <v>8</v>
      </c>
      <c r="BG24" s="1211">
        <v>8</v>
      </c>
      <c r="BH24" s="1211">
        <v>8</v>
      </c>
      <c r="BI24" s="1211">
        <v>8</v>
      </c>
      <c r="BJ24" s="1211">
        <v>8</v>
      </c>
      <c r="BK24" s="1211">
        <v>8</v>
      </c>
      <c r="BL24" s="1211">
        <v>8</v>
      </c>
      <c r="BM24" s="1211">
        <v>8</v>
      </c>
      <c r="BN24" s="1211">
        <v>8</v>
      </c>
      <c r="BO24" s="1211">
        <v>8</v>
      </c>
      <c r="BP24" s="1211">
        <v>8</v>
      </c>
      <c r="BQ24" s="1211">
        <v>8</v>
      </c>
      <c r="BR24" s="1211">
        <v>8</v>
      </c>
      <c r="BS24" s="1211">
        <v>8</v>
      </c>
      <c r="BT24" s="1211">
        <v>8</v>
      </c>
      <c r="BU24" s="1211">
        <v>8</v>
      </c>
      <c r="BV24" s="1211">
        <v>8</v>
      </c>
      <c r="BW24" s="1211">
        <v>8</v>
      </c>
      <c r="BX24" s="1211">
        <v>8</v>
      </c>
      <c r="BY24" s="1211">
        <v>8</v>
      </c>
      <c r="BZ24" s="1211">
        <v>8</v>
      </c>
      <c r="CA24" s="1211">
        <v>8</v>
      </c>
      <c r="CB24" s="1211">
        <v>8</v>
      </c>
      <c r="CC24" s="1211">
        <v>8</v>
      </c>
      <c r="CD24" s="1211">
        <v>8</v>
      </c>
      <c r="CE24" s="1211">
        <v>8</v>
      </c>
      <c r="CF24" s="1211">
        <v>8</v>
      </c>
      <c r="CG24" s="1211">
        <v>8</v>
      </c>
      <c r="CH24" s="1211">
        <v>8</v>
      </c>
      <c r="CI24" s="1211">
        <v>8</v>
      </c>
      <c r="CJ24" s="1211">
        <v>8</v>
      </c>
      <c r="CK24" s="1211">
        <v>8</v>
      </c>
      <c r="CL24" s="1211">
        <v>8</v>
      </c>
      <c r="CM24" s="1211">
        <v>8</v>
      </c>
      <c r="CN24" s="1211">
        <v>8</v>
      </c>
      <c r="CO24" s="1211">
        <v>8</v>
      </c>
      <c r="CP24" s="1211">
        <v>8</v>
      </c>
      <c r="CQ24" s="1211">
        <v>8</v>
      </c>
      <c r="CR24" s="1211">
        <v>8</v>
      </c>
      <c r="CS24" s="1211">
        <v>8</v>
      </c>
      <c r="CT24" s="1211">
        <v>8</v>
      </c>
      <c r="CU24" s="1211">
        <v>8</v>
      </c>
      <c r="CV24" s="1211">
        <v>8</v>
      </c>
      <c r="CW24" s="1211">
        <v>8</v>
      </c>
      <c r="CX24" s="1211">
        <v>8</v>
      </c>
      <c r="CY24" s="1211">
        <v>8</v>
      </c>
      <c r="CZ24" s="1211">
        <v>8</v>
      </c>
      <c r="DA24" s="1211">
        <v>8</v>
      </c>
      <c r="DB24" s="1211">
        <v>8</v>
      </c>
      <c r="DC24" s="1211">
        <v>8</v>
      </c>
      <c r="DD24" s="1211">
        <v>8</v>
      </c>
      <c r="DE24" s="1211">
        <v>8</v>
      </c>
      <c r="DF24" s="1211">
        <v>8</v>
      </c>
      <c r="DG24" s="1211">
        <v>8</v>
      </c>
      <c r="DH24" s="1211">
        <v>8</v>
      </c>
      <c r="DI24" s="1211">
        <v>8</v>
      </c>
      <c r="DJ24" s="1211">
        <v>8</v>
      </c>
      <c r="DK24" s="1211">
        <v>8</v>
      </c>
      <c r="DL24" s="1211">
        <v>8</v>
      </c>
      <c r="DM24" s="1211">
        <v>8</v>
      </c>
      <c r="DN24" s="1211">
        <v>8</v>
      </c>
      <c r="DO24" s="1211">
        <v>8</v>
      </c>
      <c r="DP24" s="1211">
        <v>8</v>
      </c>
      <c r="DQ24" s="1211">
        <v>8</v>
      </c>
      <c r="DR24" s="1211">
        <v>8</v>
      </c>
      <c r="DS24" s="1211">
        <v>8</v>
      </c>
      <c r="DT24" s="1211">
        <v>8</v>
      </c>
      <c r="DU24" s="1211">
        <v>8</v>
      </c>
      <c r="DV24" s="1211">
        <v>8</v>
      </c>
      <c r="DW24" s="1211">
        <v>8</v>
      </c>
      <c r="DX24" s="1211">
        <v>8</v>
      </c>
      <c r="DY24" s="1211">
        <v>8</v>
      </c>
      <c r="DZ24" s="1211">
        <v>8</v>
      </c>
      <c r="EA24" s="1211">
        <v>8</v>
      </c>
      <c r="EB24" s="1211">
        <v>8</v>
      </c>
      <c r="EC24" s="1211">
        <v>8</v>
      </c>
      <c r="ED24" s="1211">
        <v>8</v>
      </c>
      <c r="EE24" s="1211">
        <v>8</v>
      </c>
      <c r="EF24" s="1211">
        <v>8</v>
      </c>
      <c r="EG24" s="1211">
        <v>8</v>
      </c>
      <c r="EH24" s="1211">
        <v>8</v>
      </c>
      <c r="EI24" s="1211">
        <v>8</v>
      </c>
      <c r="EJ24" s="1211">
        <v>8</v>
      </c>
      <c r="EK24" s="1211">
        <v>8</v>
      </c>
      <c r="EL24" s="1211">
        <v>8</v>
      </c>
      <c r="EM24" s="1211">
        <v>8</v>
      </c>
      <c r="EN24" s="1211">
        <v>8</v>
      </c>
      <c r="EO24" s="1211">
        <v>8</v>
      </c>
      <c r="EP24" s="1211">
        <v>8</v>
      </c>
      <c r="EQ24" s="1211">
        <v>8</v>
      </c>
      <c r="ER24" s="1211">
        <v>8</v>
      </c>
      <c r="ES24" s="1211">
        <v>8</v>
      </c>
      <c r="ET24" s="1211">
        <v>8</v>
      </c>
      <c r="EU24" s="1211">
        <v>8</v>
      </c>
      <c r="EV24" s="1211">
        <v>8</v>
      </c>
      <c r="EW24" s="1211">
        <v>8</v>
      </c>
      <c r="EX24" s="1211">
        <v>8</v>
      </c>
      <c r="EY24" s="1211">
        <v>8</v>
      </c>
      <c r="EZ24" s="1211">
        <v>8</v>
      </c>
      <c r="FA24" s="1211">
        <v>8</v>
      </c>
      <c r="FB24" s="1211">
        <v>8</v>
      </c>
      <c r="FC24" s="1211">
        <v>8</v>
      </c>
      <c r="FD24" s="1211">
        <v>8</v>
      </c>
      <c r="FE24" s="1211">
        <v>8</v>
      </c>
      <c r="FF24" s="1211">
        <v>8</v>
      </c>
      <c r="FG24" s="1211">
        <v>8</v>
      </c>
      <c r="FH24" s="1211">
        <v>8</v>
      </c>
      <c r="FI24" s="1211">
        <v>8</v>
      </c>
      <c r="FJ24" s="1211">
        <v>8</v>
      </c>
      <c r="FK24" s="1211">
        <v>8</v>
      </c>
      <c r="FL24" s="1211">
        <v>8</v>
      </c>
      <c r="FM24" s="1211">
        <v>8</v>
      </c>
      <c r="FN24" s="1211">
        <v>8</v>
      </c>
      <c r="FO24" s="1211">
        <v>8</v>
      </c>
      <c r="FP24" s="1211">
        <v>8</v>
      </c>
      <c r="FQ24" s="1211">
        <v>8</v>
      </c>
      <c r="FR24" s="1211">
        <v>8</v>
      </c>
      <c r="FS24" s="1211">
        <v>8</v>
      </c>
      <c r="FT24" s="1211">
        <v>8</v>
      </c>
      <c r="FU24" s="1211">
        <v>8</v>
      </c>
      <c r="FV24" s="1211">
        <v>8</v>
      </c>
      <c r="FW24" s="1211">
        <v>8</v>
      </c>
      <c r="FX24" s="1211">
        <v>8</v>
      </c>
      <c r="FY24" s="1211">
        <v>8</v>
      </c>
      <c r="FZ24" s="1211">
        <v>8</v>
      </c>
      <c r="GA24" s="1211">
        <v>8</v>
      </c>
      <c r="GB24" s="1211">
        <v>8</v>
      </c>
      <c r="GC24" s="1211">
        <v>8</v>
      </c>
      <c r="GD24" s="1211">
        <v>8</v>
      </c>
      <c r="GE24" s="1211">
        <v>8</v>
      </c>
      <c r="GF24" s="1211">
        <v>8</v>
      </c>
      <c r="GG24" s="1211">
        <v>8</v>
      </c>
      <c r="GH24" s="1211">
        <v>8</v>
      </c>
      <c r="GI24" s="1211">
        <v>8</v>
      </c>
      <c r="GJ24" s="1211">
        <v>8</v>
      </c>
      <c r="GK24" s="1211">
        <v>8</v>
      </c>
      <c r="GL24" s="1211">
        <v>8</v>
      </c>
      <c r="GM24" s="1211">
        <v>8</v>
      </c>
      <c r="GN24" s="1211">
        <v>8</v>
      </c>
      <c r="GO24" s="1211">
        <v>8</v>
      </c>
      <c r="GP24" s="1211">
        <v>8</v>
      </c>
      <c r="GQ24" s="1211">
        <v>8</v>
      </c>
      <c r="GR24" s="1211">
        <v>8</v>
      </c>
      <c r="GS24" s="1211">
        <v>8</v>
      </c>
      <c r="GT24" s="1211">
        <v>8</v>
      </c>
      <c r="GU24" s="1211">
        <v>8</v>
      </c>
      <c r="GV24" s="1211">
        <v>8</v>
      </c>
      <c r="GW24" s="1211">
        <v>8</v>
      </c>
      <c r="GX24" s="1211">
        <v>8</v>
      </c>
      <c r="GY24" s="1211">
        <v>8</v>
      </c>
      <c r="GZ24" s="1211">
        <v>8</v>
      </c>
      <c r="HA24" s="1211">
        <v>8</v>
      </c>
      <c r="HB24" s="1211">
        <v>8</v>
      </c>
      <c r="HC24" s="1211">
        <v>8</v>
      </c>
      <c r="HD24" s="1211">
        <v>8</v>
      </c>
      <c r="HE24" s="1211">
        <v>8</v>
      </c>
      <c r="HF24" s="1211">
        <v>8</v>
      </c>
      <c r="HG24" s="1211">
        <v>8</v>
      </c>
      <c r="HH24" s="1211">
        <v>8</v>
      </c>
      <c r="HI24" s="1211">
        <v>8</v>
      </c>
      <c r="HJ24" s="1211">
        <v>8</v>
      </c>
      <c r="HK24" s="1211">
        <v>8</v>
      </c>
      <c r="HL24" s="1211">
        <v>8</v>
      </c>
      <c r="HM24" s="1211">
        <v>8</v>
      </c>
      <c r="HN24" s="1211">
        <v>8</v>
      </c>
      <c r="HO24" s="1211">
        <v>8</v>
      </c>
      <c r="HP24" s="1211">
        <v>8</v>
      </c>
      <c r="HQ24" s="1211">
        <v>8</v>
      </c>
      <c r="HR24" s="1211">
        <v>8</v>
      </c>
      <c r="HS24" s="1211">
        <v>8</v>
      </c>
      <c r="HT24" s="1211">
        <v>8</v>
      </c>
      <c r="HU24" s="1211">
        <v>8</v>
      </c>
      <c r="HV24" s="1211">
        <v>8</v>
      </c>
      <c r="HW24" s="1211">
        <v>8</v>
      </c>
      <c r="HX24" s="1211">
        <v>8</v>
      </c>
      <c r="HY24" s="1211">
        <v>8</v>
      </c>
      <c r="HZ24" s="1211">
        <v>8</v>
      </c>
      <c r="IA24" s="1211">
        <v>8</v>
      </c>
      <c r="IB24" s="1211">
        <v>8</v>
      </c>
      <c r="IC24" s="1211">
        <v>8</v>
      </c>
      <c r="ID24" s="1211">
        <v>8</v>
      </c>
      <c r="IE24" s="1211">
        <v>8</v>
      </c>
      <c r="IF24" s="1211">
        <v>8</v>
      </c>
      <c r="IG24" s="1211">
        <v>8</v>
      </c>
      <c r="IH24" s="1211">
        <v>8</v>
      </c>
      <c r="II24" s="1211">
        <v>8</v>
      </c>
      <c r="IJ24" s="1211">
        <v>8</v>
      </c>
      <c r="IK24" s="1211">
        <v>8</v>
      </c>
      <c r="IL24" s="1211">
        <v>8</v>
      </c>
      <c r="IM24" s="1211">
        <v>8</v>
      </c>
      <c r="IN24" s="1211">
        <v>8</v>
      </c>
      <c r="IO24" s="1211">
        <v>8</v>
      </c>
      <c r="IP24" s="1211">
        <v>8</v>
      </c>
      <c r="IQ24" s="1211">
        <v>8</v>
      </c>
      <c r="IR24" s="1211">
        <v>8</v>
      </c>
      <c r="IS24" s="1211">
        <v>8</v>
      </c>
      <c r="IT24" s="1211">
        <v>8</v>
      </c>
      <c r="IU24" s="1211">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DD5A95-5FBD-4FC1-9995-DB15E3EF0811}" mc:Ignorable="x14ac xr xr2 xr3">
  <dimension ref="A1:IW15"/>
  <sheetViews>
    <sheetView topLeftCell="A1" showGridLines="0" zoomScale="90" workbookViewId="0">
      <selection activeCell="A1" sqref="A1"/>
    </sheetView>
  </sheetViews>
  <sheetFormatPr defaultColWidth="9.140625" customHeight="1" defaultRowHeight="14.25"/>
  <cols>
    <col min="1" max="1" style="2774" width="9.140625" hidden="1"/>
    <col min="2" max="2" style="2850" width="9.140625" hidden="1"/>
    <col min="3" max="3" style="2774" width="3.7109375" hidden="1" customWidth="1"/>
    <col min="4" max="4" style="2949" width="3.00390625" customWidth="1"/>
    <col min="5" max="5" style="2774" width="6.00390625" customWidth="1"/>
    <col min="6" max="6" style="2774" width="27.00390625" customWidth="1"/>
    <col min="7" max="7" style="2774" width="16.00390625" customWidth="1"/>
    <col min="8" max="8" style="2774" width="12.00390625" customWidth="1"/>
    <col min="9" max="9" style="2774" width="32.00390625" customWidth="1"/>
    <col min="10" max="11" style="2774" width="41.00390625" customWidth="1"/>
    <col min="12" max="12" style="2774" width="89.00390625" customWidth="1"/>
    <col min="13" max="13" style="2933" width="3.00390625" customWidth="1"/>
    <col min="14" max="16" style="2933" width="8.00390625" customWidth="1"/>
    <col min="17" max="17" style="2933" width="25.00390625" customWidth="1"/>
    <col min="18" max="18" style="2933" width="14.00390625" customWidth="1"/>
    <col min="19" max="22" style="2875" width="8.00390625" customWidth="1"/>
    <col min="23" max="256" style="2774" width="8.00390625" customWidth="1"/>
    <col min="257" max="257" style="2774" width="9.140625" hidden="1"/>
  </cols>
  <sheetData>
    <row customHeight="1" ht="22.5" hidden="1">
      <c r="IW1" s="1211" t="s">
        <v>14</v>
      </c>
    </row>
    <row s="2911" customFormat="1" customHeight="1" ht="22.5" hidden="1">
      <c r="A2" s="887"/>
      <c r="B2" s="1216">
        <v>1</v>
      </c>
      <c r="C2" s="1216"/>
      <c r="D2" s="1984" t="s">
        <v>109</v>
      </c>
      <c r="E2" s="1945"/>
      <c r="F2" s="1948" t="str">
        <f>IF(ROIV_INFO_NAME="","",ROIV_INFO_NAME)</f>
        <v>МУП ЖКХ "Родник"</v>
      </c>
      <c r="G2" s="1973" t="s">
        <v>28</v>
      </c>
      <c r="H2" s="1972"/>
      <c r="I2" s="1594"/>
      <c r="J2" s="874"/>
      <c r="K2" s="874"/>
      <c r="L2" s="284"/>
      <c r="M2" s="1591">
        <f>MERGEVALUE(F2)</f>
      </c>
      <c r="N2" s="567"/>
      <c r="O2" s="567"/>
      <c r="P2" s="556" t="str">
        <f t="array" ref="P2:P2">IF(ISERROR(MATCH(MID(Q2,1,250),MID(note_ter,1,250),0)),"n","y")</f>
        <v>n</v>
      </c>
      <c r="Q2" s="567"/>
      <c r="R2" s="556" t="str">
        <f>G2&amp;"("&amp;L2&amp;")"</f>
        <v>()</v>
      </c>
      <c r="S2" s="1216"/>
      <c r="T2" s="1216"/>
      <c r="U2" s="476"/>
      <c r="V2" s="1216"/>
      <c r="W2" s="1216"/>
      <c r="X2" s="1216"/>
      <c r="Y2" s="478"/>
      <c r="Z2" s="478"/>
      <c r="AA2" s="475"/>
      <c r="AB2" s="475"/>
      <c r="AC2" s="475"/>
      <c r="AD2" s="475"/>
      <c r="AE2" s="475"/>
      <c r="AF2" s="475"/>
      <c r="AG2" s="475"/>
      <c r="AH2" s="475"/>
      <c r="AI2" s="475"/>
      <c r="AJ2" s="475"/>
      <c r="AK2" s="475"/>
      <c r="AL2" s="475"/>
      <c r="AM2" s="475"/>
      <c r="AN2" s="475"/>
      <c r="AO2" s="475"/>
      <c r="AP2" s="475"/>
      <c r="AQ2" s="475"/>
      <c r="AR2" s="475"/>
      <c r="AS2" s="475"/>
      <c r="AT2" s="475"/>
      <c r="AU2" s="475"/>
      <c r="AV2" s="475"/>
      <c r="AW2" s="475"/>
      <c r="AX2" s="475"/>
      <c r="AY2" s="475"/>
      <c r="AZ2" s="475"/>
      <c r="BA2" s="475"/>
      <c r="BB2" s="475"/>
      <c r="BC2" s="475"/>
      <c r="BD2" s="475"/>
      <c r="BE2" s="475"/>
      <c r="BF2" s="475"/>
      <c r="BG2" s="475"/>
      <c r="BH2" s="475"/>
      <c r="BI2" s="475"/>
      <c r="BJ2" s="475"/>
      <c r="BK2" s="475"/>
      <c r="BL2" s="475"/>
      <c r="BM2" s="475"/>
      <c r="BN2" s="475"/>
      <c r="BO2" s="475"/>
      <c r="BP2" s="475"/>
      <c r="BQ2" s="475"/>
      <c r="BR2" s="475"/>
      <c r="BS2" s="475"/>
      <c r="BT2" s="475"/>
      <c r="BU2" s="475"/>
      <c r="BV2" s="478"/>
      <c r="BW2" s="478"/>
      <c r="BX2" s="478"/>
      <c r="BY2" s="478"/>
      <c r="BZ2" s="478"/>
      <c r="CA2" s="478"/>
      <c r="CB2" s="478"/>
      <c r="CC2" s="478"/>
      <c r="CD2" s="478"/>
      <c r="CE2" s="478"/>
      <c r="IW2" s="479">
        <v>0</v>
      </c>
    </row>
    <row s="2851" customFormat="1" customHeight="1" ht="5.25" hidden="1">
      <c r="A3" s="552"/>
      <c r="D3" s="550"/>
      <c r="F3" s="303" t="s">
        <v>87</v>
      </c>
      <c r="G3" s="1791" t="s">
        <v>88</v>
      </c>
      <c r="H3" s="550"/>
      <c r="I3" s="550"/>
      <c r="J3" s="550"/>
      <c r="K3" s="550"/>
      <c r="L3" s="283" t="s">
        <v>89</v>
      </c>
      <c r="M3" s="303" t="s">
        <v>87</v>
      </c>
      <c r="N3" s="303"/>
      <c r="O3" s="303"/>
      <c r="P3" s="303"/>
      <c r="Q3" s="304"/>
      <c r="R3" s="303"/>
      <c r="S3" s="303"/>
      <c r="T3" s="303"/>
      <c r="U3" s="303"/>
      <c r="V3" s="303"/>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567">
        <v>0</v>
      </c>
    </row>
    <row s="2866" customFormat="1" customHeight="1" ht="14.699999999999998">
      <c r="A4" s="1211"/>
      <c r="B4" s="1216"/>
      <c r="C4" s="1211"/>
      <c r="D4" s="1551"/>
      <c r="E4" s="565"/>
      <c r="F4" s="565"/>
      <c r="G4" s="565"/>
      <c r="H4" s="565"/>
      <c r="I4" s="565"/>
      <c r="J4" s="565"/>
      <c r="K4" s="565"/>
      <c r="L4" s="222"/>
      <c r="M4" s="303"/>
      <c r="N4" s="556"/>
      <c r="O4" s="556"/>
      <c r="P4" s="556"/>
      <c r="Q4" s="282"/>
      <c r="R4" s="556"/>
      <c r="S4" s="281"/>
      <c r="T4" s="281"/>
      <c r="U4" s="281"/>
      <c r="V4" s="281"/>
      <c r="IW4" s="563">
        <v>14</v>
      </c>
    </row>
    <row s="2866" customFormat="1" customHeight="1" ht="27.299999999999997">
      <c r="A5" s="1211"/>
      <c r="B5" s="1216"/>
      <c r="C5" s="1211"/>
      <c r="D5" s="1551"/>
      <c r="E5" s="21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56"/>
      <c r="G5" s="2156"/>
      <c r="H5" s="2156"/>
      <c r="I5" s="2156"/>
      <c r="J5" s="2156"/>
      <c r="K5" s="2156"/>
      <c r="L5" s="644"/>
      <c r="M5" s="303"/>
      <c r="N5" s="556"/>
      <c r="O5" s="556"/>
      <c r="P5" s="556"/>
      <c r="Q5" s="282"/>
      <c r="R5" s="556"/>
      <c r="S5" s="281"/>
      <c r="T5" s="281"/>
      <c r="U5" s="281"/>
      <c r="V5" s="281"/>
      <c r="IW5" s="563">
        <v>26</v>
      </c>
    </row>
    <row s="2866" customFormat="1" customHeight="1" ht="14.699999999999998">
      <c r="A6" s="1211"/>
      <c r="B6" s="1216"/>
      <c r="C6" s="1211"/>
      <c r="D6" s="1551"/>
      <c r="E6" s="565"/>
      <c r="F6" s="223"/>
      <c r="G6" s="223"/>
      <c r="H6" s="223"/>
      <c r="I6" s="223"/>
      <c r="J6" s="223"/>
      <c r="K6" s="223"/>
      <c r="L6" s="224"/>
      <c r="M6" s="556"/>
      <c r="N6" s="556"/>
      <c r="O6" s="556"/>
      <c r="P6" s="556"/>
      <c r="Q6" s="282"/>
      <c r="R6" s="556"/>
      <c r="S6" s="281"/>
      <c r="T6" s="281"/>
      <c r="U6" s="281"/>
      <c r="V6" s="281"/>
      <c r="IW6" s="563">
        <v>14</v>
      </c>
    </row>
    <row s="2866" customFormat="1" customHeight="1" ht="14.699999999999998">
      <c r="A7" s="1211"/>
      <c r="B7" s="1216"/>
      <c r="C7" s="1211"/>
      <c r="D7" s="1551"/>
      <c r="E7" s="2157" t="s">
        <v>432</v>
      </c>
      <c r="F7" s="2158"/>
      <c r="G7" s="2158"/>
      <c r="H7" s="2158"/>
      <c r="I7" s="2158"/>
      <c r="J7" s="2158"/>
      <c r="K7" s="2158"/>
      <c r="L7" s="2530" t="s">
        <v>433</v>
      </c>
      <c r="M7" s="556"/>
      <c r="N7" s="556"/>
      <c r="O7" s="556"/>
      <c r="P7" s="556"/>
      <c r="Q7" s="282"/>
      <c r="R7" s="556"/>
      <c r="S7" s="281"/>
      <c r="T7" s="281"/>
      <c r="U7" s="281"/>
      <c r="V7" s="281"/>
      <c r="IW7" s="563">
        <v>14</v>
      </c>
    </row>
    <row s="2866" customFormat="1" customHeight="1" ht="67.2">
      <c r="A8" s="1211"/>
      <c r="B8" s="1216"/>
      <c r="C8" s="1211"/>
      <c r="D8" s="1551"/>
      <c r="E8" s="2534" t="s">
        <v>92</v>
      </c>
      <c r="F8" s="253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3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37"/>
      <c r="I8" s="2538"/>
      <c r="J8" s="253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2"/>
      <c r="M8" s="556"/>
      <c r="N8" s="556"/>
      <c r="O8" s="556"/>
      <c r="P8" s="556"/>
      <c r="Q8" s="282"/>
      <c r="R8" s="556"/>
      <c r="S8" s="281"/>
      <c r="T8" s="281"/>
      <c r="U8" s="281"/>
      <c r="V8" s="281"/>
      <c r="IW8" s="563">
        <v>64</v>
      </c>
    </row>
    <row s="2866" customFormat="1" customHeight="1" ht="29.25">
      <c r="A9" s="1211"/>
      <c r="B9" s="1216"/>
      <c r="C9" s="1211"/>
      <c r="D9" s="1551"/>
      <c r="E9" s="2535"/>
      <c r="F9" s="2535"/>
      <c r="G9" s="1593" t="s">
        <v>2009</v>
      </c>
      <c r="H9" s="1593" t="s">
        <v>2010</v>
      </c>
      <c r="I9" s="1593" t="s">
        <v>2011</v>
      </c>
      <c r="J9" s="2535"/>
      <c r="K9" s="2535"/>
      <c r="L9" s="2531"/>
      <c r="M9" s="556"/>
      <c r="N9" s="556"/>
      <c r="O9" s="556"/>
      <c r="P9" s="556"/>
      <c r="Q9" s="282"/>
      <c r="R9" s="556"/>
      <c r="S9" s="281"/>
      <c r="T9" s="281"/>
      <c r="U9" s="281"/>
      <c r="V9" s="281"/>
      <c r="IW9" s="563">
        <v>28</v>
      </c>
    </row>
    <row s="2911" customFormat="1" customHeight="1" ht="23.25">
      <c r="A10" s="2155"/>
      <c r="B10" s="1216">
        <v>1</v>
      </c>
      <c r="C10" s="1216"/>
      <c r="D10" s="856"/>
      <c r="E10" s="854">
        <v>1</v>
      </c>
      <c r="F10" s="1595" t="str">
        <f>IF(ROIV_INFO_NAME="","",ROIV_INFO_NAME)</f>
        <v>МУП ЖКХ "Родник"</v>
      </c>
      <c r="G10" s="1788" t="s">
        <v>28</v>
      </c>
      <c r="H10" s="1972"/>
      <c r="I10" s="1590"/>
      <c r="J10" s="874"/>
      <c r="K10" s="874"/>
      <c r="L10" s="24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91">
        <f>MERGEVALUE(F10)</f>
      </c>
      <c r="N10" s="567"/>
      <c r="O10" s="567"/>
      <c r="P10" s="556" t="str">
        <f t="array" ref="P10:P10">IF(ISERROR(MATCH(MID(Q10,1,250),MID(note_ter,1,250),0)),"n","y")</f>
        <v>n</v>
      </c>
      <c r="Q10" s="567"/>
      <c r="R10" s="55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216"/>
      <c r="T10" s="1216"/>
      <c r="U10" s="476"/>
      <c r="V10" s="1216"/>
      <c r="W10" s="1216"/>
      <c r="X10" s="1216"/>
      <c r="Y10" s="478"/>
      <c r="Z10" s="478"/>
      <c r="AA10" s="475"/>
      <c r="AB10" s="475"/>
      <c r="AC10" s="475"/>
      <c r="AD10" s="475"/>
      <c r="AE10" s="475"/>
      <c r="AF10" s="475"/>
      <c r="AG10" s="475"/>
      <c r="AH10" s="475"/>
      <c r="AI10" s="475"/>
      <c r="AJ10" s="475"/>
      <c r="AK10" s="475"/>
      <c r="AL10" s="475"/>
      <c r="AM10" s="475"/>
      <c r="AN10" s="475"/>
      <c r="AO10" s="475"/>
      <c r="AP10" s="475"/>
      <c r="AQ10" s="475"/>
      <c r="AR10" s="475"/>
      <c r="AS10" s="475"/>
      <c r="AT10" s="475"/>
      <c r="AU10" s="475"/>
      <c r="AV10" s="475"/>
      <c r="AW10" s="475"/>
      <c r="AX10" s="475"/>
      <c r="AY10" s="475"/>
      <c r="AZ10" s="475"/>
      <c r="BA10" s="475"/>
      <c r="BB10" s="475"/>
      <c r="BC10" s="475"/>
      <c r="BD10" s="475"/>
      <c r="BE10" s="475"/>
      <c r="BF10" s="475"/>
      <c r="BG10" s="475"/>
      <c r="BH10" s="475"/>
      <c r="BI10" s="475"/>
      <c r="BJ10" s="475"/>
      <c r="BK10" s="475"/>
      <c r="BL10" s="475"/>
      <c r="BM10" s="475"/>
      <c r="BN10" s="475"/>
      <c r="BO10" s="475"/>
      <c r="BP10" s="475"/>
      <c r="BQ10" s="475"/>
      <c r="BR10" s="475"/>
      <c r="BS10" s="475"/>
      <c r="BT10" s="475"/>
      <c r="BU10" s="475"/>
      <c r="BV10" s="478"/>
      <c r="BW10" s="478"/>
      <c r="BX10" s="478"/>
      <c r="BY10" s="478"/>
      <c r="BZ10" s="478"/>
      <c r="CA10" s="478"/>
      <c r="CB10" s="478"/>
      <c r="CC10" s="478"/>
      <c r="CD10" s="478"/>
      <c r="CE10" s="478"/>
      <c r="IW10" s="479">
        <v>22</v>
      </c>
    </row>
    <row s="2911" customFormat="1" customHeight="1" ht="15.75">
      <c r="A11" s="2155"/>
      <c r="B11" s="1216"/>
      <c r="C11" s="468"/>
      <c r="D11" s="857"/>
      <c r="E11" s="477"/>
      <c r="F11" s="472" t="s">
        <v>2012</v>
      </c>
      <c r="G11" s="243"/>
      <c r="H11" s="243"/>
      <c r="I11" s="243"/>
      <c r="J11" s="243"/>
      <c r="K11" s="480"/>
      <c r="L11" s="2533"/>
      <c r="M11" s="1592"/>
      <c r="N11" s="567"/>
      <c r="O11" s="567"/>
      <c r="P11" s="567"/>
      <c r="Q11" s="556"/>
      <c r="R11" s="567"/>
      <c r="S11" s="1216"/>
      <c r="T11" s="1216"/>
      <c r="U11" s="476"/>
      <c r="V11" s="1216"/>
      <c r="W11" s="1216"/>
      <c r="X11" s="1216"/>
      <c r="Y11" s="478"/>
      <c r="Z11" s="478"/>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c r="BU11" s="475"/>
      <c r="BV11" s="478"/>
      <c r="BW11" s="478"/>
      <c r="BX11" s="478"/>
      <c r="BY11" s="478"/>
      <c r="BZ11" s="478"/>
      <c r="CA11" s="478"/>
      <c r="CB11" s="478"/>
      <c r="CC11" s="478"/>
      <c r="CD11" s="478"/>
      <c r="CE11" s="478"/>
      <c r="IW11" s="479">
        <v>15</v>
      </c>
    </row>
    <row s="2866" customFormat="1" customHeight="1" ht="22.049999999999997">
      <c r="A12" s="1211"/>
      <c r="B12" s="1216"/>
      <c r="C12" s="1211"/>
      <c r="D12" s="507"/>
      <c r="E12" s="236"/>
      <c r="F12" s="236"/>
      <c r="G12" s="236"/>
      <c r="H12" s="236"/>
      <c r="I12" s="236"/>
      <c r="J12" s="236"/>
      <c r="K12" s="236"/>
      <c r="L12" s="236"/>
      <c r="M12" s="556"/>
      <c r="N12" s="556"/>
      <c r="O12" s="556"/>
      <c r="P12" s="556"/>
      <c r="Q12" s="282"/>
      <c r="R12" s="556"/>
      <c r="S12" s="281"/>
      <c r="T12" s="281"/>
      <c r="U12" s="281"/>
      <c r="V12" s="281"/>
      <c r="IW12" s="563">
        <v>21</v>
      </c>
    </row>
    <row s="2866" customFormat="1" customHeight="1" ht="14.699999999999998">
      <c r="A13" s="1211"/>
      <c r="B13" s="1216"/>
      <c r="C13" s="1211"/>
      <c r="D13" s="507"/>
      <c r="E13" s="1211"/>
      <c r="F13" s="1211"/>
      <c r="G13" s="1211"/>
      <c r="H13" s="1211"/>
      <c r="I13" s="1211"/>
      <c r="J13" s="1211"/>
      <c r="K13" s="1211"/>
      <c r="L13" s="1211"/>
      <c r="M13" s="556"/>
      <c r="N13" s="556"/>
      <c r="O13" s="556"/>
      <c r="P13" s="556"/>
      <c r="Q13" s="282"/>
      <c r="R13" s="556"/>
      <c r="S13" s="281"/>
      <c r="T13" s="281"/>
      <c r="U13" s="281"/>
      <c r="V13" s="281"/>
      <c r="IW13" s="563">
        <v>14</v>
      </c>
    </row>
    <row s="2866" customFormat="1" customHeight="1" ht="1.05">
      <c r="A14" s="1211"/>
      <c r="B14" s="1216"/>
      <c r="C14" s="1211"/>
      <c r="D14" s="507"/>
      <c r="E14" s="1211"/>
      <c r="F14" s="1211"/>
      <c r="G14" s="1211"/>
      <c r="H14" s="1211"/>
      <c r="I14" s="1211"/>
      <c r="J14" s="1211"/>
      <c r="K14" s="1211"/>
      <c r="L14" s="1211"/>
      <c r="M14" s="556"/>
      <c r="N14" s="556"/>
      <c r="O14" s="556"/>
      <c r="P14" s="556"/>
      <c r="Q14" s="282"/>
      <c r="R14" s="556"/>
      <c r="S14" s="281"/>
      <c r="T14" s="281"/>
      <c r="U14" s="281"/>
      <c r="V14" s="281"/>
      <c r="IW14" s="563">
        <v>1</v>
      </c>
    </row>
    <row customHeight="1" ht="22.5" hidden="1">
      <c r="A15" s="1211" t="s">
        <v>86</v>
      </c>
      <c r="B15" s="1216">
        <v>0</v>
      </c>
      <c r="C15" s="1211">
        <v>0</v>
      </c>
      <c r="D15" s="507">
        <v>3</v>
      </c>
      <c r="E15" s="1211">
        <v>6</v>
      </c>
      <c r="F15" s="1211">
        <v>27</v>
      </c>
      <c r="G15" s="1211">
        <v>16</v>
      </c>
      <c r="H15" s="1211">
        <v>12</v>
      </c>
      <c r="I15" s="1211">
        <v>32</v>
      </c>
      <c r="J15" s="1211">
        <v>41</v>
      </c>
      <c r="K15" s="1211">
        <v>41</v>
      </c>
      <c r="L15" s="1211">
        <v>89</v>
      </c>
      <c r="M15" s="556">
        <v>3</v>
      </c>
      <c r="N15" s="556">
        <v>8</v>
      </c>
      <c r="O15" s="556">
        <v>8</v>
      </c>
      <c r="P15" s="556">
        <v>8</v>
      </c>
      <c r="Q15" s="282">
        <v>25</v>
      </c>
      <c r="R15" s="556">
        <v>14</v>
      </c>
      <c r="S15" s="281">
        <v>8</v>
      </c>
      <c r="T15" s="281">
        <v>8</v>
      </c>
      <c r="U15" s="281">
        <v>8</v>
      </c>
      <c r="V15" s="281">
        <v>8</v>
      </c>
      <c r="W15" s="1211">
        <v>8</v>
      </c>
      <c r="X15" s="1211">
        <v>8</v>
      </c>
      <c r="Y15" s="1211">
        <v>8</v>
      </c>
      <c r="Z15" s="1211">
        <v>8</v>
      </c>
      <c r="AA15" s="1211">
        <v>8</v>
      </c>
      <c r="AB15" s="1211">
        <v>8</v>
      </c>
      <c r="AC15" s="1211">
        <v>8</v>
      </c>
      <c r="AD15" s="1211">
        <v>8</v>
      </c>
      <c r="AE15" s="1211">
        <v>8</v>
      </c>
      <c r="AF15" s="1211">
        <v>8</v>
      </c>
      <c r="AG15" s="1211">
        <v>8</v>
      </c>
      <c r="AH15" s="1211">
        <v>8</v>
      </c>
      <c r="AI15" s="1211">
        <v>8</v>
      </c>
      <c r="AJ15" s="1211">
        <v>8</v>
      </c>
      <c r="AK15" s="1211">
        <v>8</v>
      </c>
      <c r="AL15" s="1211">
        <v>8</v>
      </c>
      <c r="AM15" s="1211">
        <v>8</v>
      </c>
      <c r="AN15" s="1211">
        <v>8</v>
      </c>
      <c r="AO15" s="1211">
        <v>8</v>
      </c>
      <c r="AP15" s="1211">
        <v>8</v>
      </c>
      <c r="AQ15" s="1211">
        <v>8</v>
      </c>
      <c r="AR15" s="1211">
        <v>8</v>
      </c>
      <c r="AS15" s="1211">
        <v>8</v>
      </c>
      <c r="AT15" s="1211">
        <v>8</v>
      </c>
      <c r="AU15" s="1211">
        <v>8</v>
      </c>
      <c r="AV15" s="1211">
        <v>8</v>
      </c>
      <c r="AW15" s="1211">
        <v>8</v>
      </c>
      <c r="AX15" s="1211">
        <v>8</v>
      </c>
      <c r="AY15" s="1211">
        <v>8</v>
      </c>
      <c r="AZ15" s="1211">
        <v>8</v>
      </c>
      <c r="BA15" s="1211">
        <v>8</v>
      </c>
      <c r="BB15" s="1211">
        <v>8</v>
      </c>
      <c r="BC15" s="1211">
        <v>8</v>
      </c>
      <c r="BD15" s="1211">
        <v>8</v>
      </c>
      <c r="BE15" s="1211">
        <v>8</v>
      </c>
      <c r="BF15" s="1211">
        <v>8</v>
      </c>
      <c r="BG15" s="1211">
        <v>8</v>
      </c>
      <c r="BH15" s="1211">
        <v>8</v>
      </c>
      <c r="BI15" s="1211">
        <v>8</v>
      </c>
      <c r="BJ15" s="1211">
        <v>8</v>
      </c>
      <c r="BK15" s="1211">
        <v>8</v>
      </c>
      <c r="BL15" s="1211">
        <v>8</v>
      </c>
      <c r="BM15" s="1211">
        <v>8</v>
      </c>
      <c r="BN15" s="1211">
        <v>8</v>
      </c>
      <c r="BO15" s="1211">
        <v>8</v>
      </c>
      <c r="BP15" s="1211">
        <v>8</v>
      </c>
      <c r="BQ15" s="1211">
        <v>8</v>
      </c>
      <c r="BR15" s="1211">
        <v>8</v>
      </c>
      <c r="BS15" s="1211">
        <v>8</v>
      </c>
      <c r="BT15" s="1211">
        <v>8</v>
      </c>
      <c r="BU15" s="1211">
        <v>8</v>
      </c>
      <c r="BV15" s="1211">
        <v>8</v>
      </c>
      <c r="BW15" s="1211">
        <v>8</v>
      </c>
      <c r="BX15" s="1211">
        <v>8</v>
      </c>
      <c r="BY15" s="1211">
        <v>8</v>
      </c>
      <c r="BZ15" s="1211">
        <v>8</v>
      </c>
      <c r="CA15" s="1211">
        <v>8</v>
      </c>
      <c r="CB15" s="1211">
        <v>8</v>
      </c>
      <c r="CC15" s="1211">
        <v>8</v>
      </c>
      <c r="CD15" s="1211">
        <v>8</v>
      </c>
      <c r="CE15" s="1211">
        <v>8</v>
      </c>
      <c r="CF15" s="1211">
        <v>8</v>
      </c>
      <c r="CG15" s="1211">
        <v>8</v>
      </c>
      <c r="CH15" s="1211">
        <v>8</v>
      </c>
      <c r="CI15" s="1211">
        <v>8</v>
      </c>
      <c r="CJ15" s="1211">
        <v>8</v>
      </c>
      <c r="CK15" s="1211">
        <v>8</v>
      </c>
      <c r="CL15" s="1211">
        <v>8</v>
      </c>
      <c r="CM15" s="1211">
        <v>8</v>
      </c>
      <c r="CN15" s="1211">
        <v>8</v>
      </c>
      <c r="CO15" s="1211">
        <v>8</v>
      </c>
      <c r="CP15" s="1211">
        <v>8</v>
      </c>
      <c r="CQ15" s="1211">
        <v>8</v>
      </c>
      <c r="CR15" s="1211">
        <v>8</v>
      </c>
      <c r="CS15" s="1211">
        <v>8</v>
      </c>
      <c r="CT15" s="1211">
        <v>8</v>
      </c>
      <c r="CU15" s="1211">
        <v>8</v>
      </c>
      <c r="CV15" s="1211">
        <v>8</v>
      </c>
      <c r="CW15" s="1211">
        <v>8</v>
      </c>
      <c r="CX15" s="1211">
        <v>8</v>
      </c>
      <c r="CY15" s="1211">
        <v>8</v>
      </c>
      <c r="CZ15" s="1211">
        <v>8</v>
      </c>
      <c r="DA15" s="1211">
        <v>8</v>
      </c>
      <c r="DB15" s="1211">
        <v>8</v>
      </c>
      <c r="DC15" s="1211">
        <v>8</v>
      </c>
      <c r="DD15" s="1211">
        <v>8</v>
      </c>
      <c r="DE15" s="1211">
        <v>8</v>
      </c>
      <c r="DF15" s="1211">
        <v>8</v>
      </c>
      <c r="DG15" s="1211">
        <v>8</v>
      </c>
      <c r="DH15" s="1211">
        <v>8</v>
      </c>
      <c r="DI15" s="1211">
        <v>8</v>
      </c>
      <c r="DJ15" s="1211">
        <v>8</v>
      </c>
      <c r="DK15" s="1211">
        <v>8</v>
      </c>
      <c r="DL15" s="1211">
        <v>8</v>
      </c>
      <c r="DM15" s="1211">
        <v>8</v>
      </c>
      <c r="DN15" s="1211">
        <v>8</v>
      </c>
      <c r="DO15" s="1211">
        <v>8</v>
      </c>
      <c r="DP15" s="1211">
        <v>8</v>
      </c>
      <c r="DQ15" s="1211">
        <v>8</v>
      </c>
      <c r="DR15" s="1211">
        <v>8</v>
      </c>
      <c r="DS15" s="1211">
        <v>8</v>
      </c>
      <c r="DT15" s="1211">
        <v>8</v>
      </c>
      <c r="DU15" s="1211">
        <v>8</v>
      </c>
      <c r="DV15" s="1211">
        <v>8</v>
      </c>
      <c r="DW15" s="1211">
        <v>8</v>
      </c>
      <c r="DX15" s="1211">
        <v>8</v>
      </c>
      <c r="DY15" s="1211">
        <v>8</v>
      </c>
      <c r="DZ15" s="1211">
        <v>8</v>
      </c>
      <c r="EA15" s="1211">
        <v>8</v>
      </c>
      <c r="EB15" s="1211">
        <v>8</v>
      </c>
      <c r="EC15" s="1211">
        <v>8</v>
      </c>
      <c r="ED15" s="1211">
        <v>8</v>
      </c>
      <c r="EE15" s="1211">
        <v>8</v>
      </c>
      <c r="EF15" s="1211">
        <v>8</v>
      </c>
      <c r="EG15" s="1211">
        <v>8</v>
      </c>
      <c r="EH15" s="1211">
        <v>8</v>
      </c>
      <c r="EI15" s="1211">
        <v>8</v>
      </c>
      <c r="EJ15" s="1211">
        <v>8</v>
      </c>
      <c r="EK15" s="1211">
        <v>8</v>
      </c>
      <c r="EL15" s="1211">
        <v>8</v>
      </c>
      <c r="EM15" s="1211">
        <v>8</v>
      </c>
      <c r="EN15" s="1211">
        <v>8</v>
      </c>
      <c r="EO15" s="1211">
        <v>8</v>
      </c>
      <c r="EP15" s="1211">
        <v>8</v>
      </c>
      <c r="EQ15" s="1211">
        <v>8</v>
      </c>
      <c r="ER15" s="1211">
        <v>8</v>
      </c>
      <c r="ES15" s="1211">
        <v>8</v>
      </c>
      <c r="ET15" s="1211">
        <v>8</v>
      </c>
      <c r="EU15" s="1211">
        <v>8</v>
      </c>
      <c r="EV15" s="1211">
        <v>8</v>
      </c>
      <c r="EW15" s="1211">
        <v>8</v>
      </c>
      <c r="EX15" s="1211">
        <v>8</v>
      </c>
      <c r="EY15" s="1211">
        <v>8</v>
      </c>
      <c r="EZ15" s="1211">
        <v>8</v>
      </c>
      <c r="FA15" s="1211">
        <v>8</v>
      </c>
      <c r="FB15" s="1211">
        <v>8</v>
      </c>
      <c r="FC15" s="1211">
        <v>8</v>
      </c>
      <c r="FD15" s="1211">
        <v>8</v>
      </c>
      <c r="FE15" s="1211">
        <v>8</v>
      </c>
      <c r="FF15" s="1211">
        <v>8</v>
      </c>
      <c r="FG15" s="1211">
        <v>8</v>
      </c>
      <c r="FH15" s="1211">
        <v>8</v>
      </c>
      <c r="FI15" s="1211">
        <v>8</v>
      </c>
      <c r="FJ15" s="1211">
        <v>8</v>
      </c>
      <c r="FK15" s="1211">
        <v>8</v>
      </c>
      <c r="FL15" s="1211">
        <v>8</v>
      </c>
      <c r="FM15" s="1211">
        <v>8</v>
      </c>
      <c r="FN15" s="1211">
        <v>8</v>
      </c>
      <c r="FO15" s="1211">
        <v>8</v>
      </c>
      <c r="FP15" s="1211">
        <v>8</v>
      </c>
      <c r="FQ15" s="1211">
        <v>8</v>
      </c>
      <c r="FR15" s="1211">
        <v>8</v>
      </c>
      <c r="FS15" s="1211">
        <v>8</v>
      </c>
      <c r="FT15" s="1211">
        <v>8</v>
      </c>
      <c r="FU15" s="1211">
        <v>8</v>
      </c>
      <c r="FV15" s="1211">
        <v>8</v>
      </c>
      <c r="FW15" s="1211">
        <v>8</v>
      </c>
      <c r="FX15" s="1211">
        <v>8</v>
      </c>
      <c r="FY15" s="1211">
        <v>8</v>
      </c>
      <c r="FZ15" s="1211">
        <v>8</v>
      </c>
      <c r="GA15" s="1211">
        <v>8</v>
      </c>
      <c r="GB15" s="1211">
        <v>8</v>
      </c>
      <c r="GC15" s="1211">
        <v>8</v>
      </c>
      <c r="GD15" s="1211">
        <v>8</v>
      </c>
      <c r="GE15" s="1211">
        <v>8</v>
      </c>
      <c r="GF15" s="1211">
        <v>8</v>
      </c>
      <c r="GG15" s="1211">
        <v>8</v>
      </c>
      <c r="GH15" s="1211">
        <v>8</v>
      </c>
      <c r="GI15" s="1211">
        <v>8</v>
      </c>
      <c r="GJ15" s="1211">
        <v>8</v>
      </c>
      <c r="GK15" s="1211">
        <v>8</v>
      </c>
      <c r="GL15" s="1211">
        <v>8</v>
      </c>
      <c r="GM15" s="1211">
        <v>8</v>
      </c>
      <c r="GN15" s="1211">
        <v>8</v>
      </c>
      <c r="GO15" s="1211">
        <v>8</v>
      </c>
      <c r="GP15" s="1211">
        <v>8</v>
      </c>
      <c r="GQ15" s="1211">
        <v>8</v>
      </c>
      <c r="GR15" s="1211">
        <v>8</v>
      </c>
      <c r="GS15" s="1211">
        <v>8</v>
      </c>
      <c r="GT15" s="1211">
        <v>8</v>
      </c>
      <c r="GU15" s="1211">
        <v>8</v>
      </c>
      <c r="GV15" s="1211">
        <v>8</v>
      </c>
      <c r="GW15" s="1211">
        <v>8</v>
      </c>
      <c r="GX15" s="1211">
        <v>8</v>
      </c>
      <c r="GY15" s="1211">
        <v>8</v>
      </c>
      <c r="GZ15" s="1211">
        <v>8</v>
      </c>
      <c r="HA15" s="1211">
        <v>8</v>
      </c>
      <c r="HB15" s="1211">
        <v>8</v>
      </c>
      <c r="HC15" s="1211">
        <v>8</v>
      </c>
      <c r="HD15" s="1211">
        <v>8</v>
      </c>
      <c r="HE15" s="1211">
        <v>8</v>
      </c>
      <c r="HF15" s="1211">
        <v>8</v>
      </c>
      <c r="HG15" s="1211">
        <v>8</v>
      </c>
      <c r="HH15" s="1211">
        <v>8</v>
      </c>
      <c r="HI15" s="1211">
        <v>8</v>
      </c>
      <c r="HJ15" s="1211">
        <v>8</v>
      </c>
      <c r="HK15" s="1211">
        <v>8</v>
      </c>
      <c r="HL15" s="1211">
        <v>8</v>
      </c>
      <c r="HM15" s="1211">
        <v>8</v>
      </c>
      <c r="HN15" s="1211">
        <v>8</v>
      </c>
      <c r="HO15" s="1211">
        <v>8</v>
      </c>
      <c r="HP15" s="1211">
        <v>8</v>
      </c>
      <c r="HQ15" s="1211">
        <v>8</v>
      </c>
      <c r="HR15" s="1211">
        <v>8</v>
      </c>
      <c r="HS15" s="1211">
        <v>8</v>
      </c>
      <c r="HT15" s="1211">
        <v>8</v>
      </c>
      <c r="HU15" s="1211">
        <v>8</v>
      </c>
      <c r="HV15" s="1211">
        <v>8</v>
      </c>
      <c r="HW15" s="1211">
        <v>8</v>
      </c>
      <c r="HX15" s="1211">
        <v>8</v>
      </c>
      <c r="HY15" s="1211">
        <v>8</v>
      </c>
      <c r="HZ15" s="1211">
        <v>8</v>
      </c>
      <c r="IA15" s="1211">
        <v>8</v>
      </c>
      <c r="IB15" s="1211">
        <v>8</v>
      </c>
      <c r="IC15" s="1211">
        <v>8</v>
      </c>
      <c r="ID15" s="1211">
        <v>8</v>
      </c>
      <c r="IE15" s="1211">
        <v>8</v>
      </c>
      <c r="IF15" s="1211">
        <v>8</v>
      </c>
      <c r="IG15" s="1211">
        <v>8</v>
      </c>
      <c r="IH15" s="1211">
        <v>8</v>
      </c>
      <c r="II15" s="1211">
        <v>8</v>
      </c>
      <c r="IJ15" s="1211">
        <v>8</v>
      </c>
      <c r="IK15" s="1211">
        <v>8</v>
      </c>
      <c r="IL15" s="1211">
        <v>8</v>
      </c>
      <c r="IM15" s="1211">
        <v>8</v>
      </c>
      <c r="IN15" s="1211">
        <v>8</v>
      </c>
      <c r="IO15" s="1211">
        <v>8</v>
      </c>
      <c r="IP15" s="1211">
        <v>8</v>
      </c>
      <c r="IQ15" s="1211">
        <v>8</v>
      </c>
      <c r="IR15" s="1211">
        <v>8</v>
      </c>
      <c r="IS15" s="1211">
        <v>8</v>
      </c>
      <c r="IT15" s="1211">
        <v>8</v>
      </c>
      <c r="IU15" s="1211">
        <v>8</v>
      </c>
      <c r="IV15" s="1211">
        <v>8</v>
      </c>
      <c r="IW15" s="1211">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D2F622-3138-B28B-C51A-A93D9EFA64CC}" mc:Ignorable="x14ac xr xr2 xr3">
  <dimension ref="A1:IW15"/>
  <sheetViews>
    <sheetView topLeftCell="A1" showGridLines="0" zoomScale="90" workbookViewId="0">
      <selection activeCell="A1" sqref="A1"/>
    </sheetView>
  </sheetViews>
  <sheetFormatPr defaultColWidth="9.140625" customHeight="1" defaultRowHeight="14.25"/>
  <cols>
    <col min="1" max="1" style="2774" width="9.140625" hidden="1"/>
    <col min="2" max="2" style="2850" width="9.140625" hidden="1"/>
    <col min="3" max="3" style="2774" width="3.7109375" hidden="1" customWidth="1"/>
    <col min="4" max="4" style="2949" width="3.00390625" customWidth="1"/>
    <col min="5" max="5" style="2774" width="6.00390625" customWidth="1"/>
    <col min="6" max="6" style="2774" width="27.00390625" customWidth="1"/>
    <col min="7" max="7" style="2774" width="16.00390625" customWidth="1"/>
    <col min="8" max="8" style="2774" width="12.00390625" customWidth="1"/>
    <col min="9" max="9" style="2774" width="32.00390625" customWidth="1"/>
    <col min="10" max="11" style="2774" width="41.00390625" customWidth="1"/>
    <col min="12" max="12" style="2774" width="89.00390625" customWidth="1"/>
    <col min="13" max="13" style="2933" width="3.00390625" customWidth="1"/>
    <col min="14" max="16" style="2933" width="8.00390625" customWidth="1"/>
    <col min="17" max="17" style="2933" width="25.00390625" customWidth="1"/>
    <col min="18" max="18" style="2933" width="14.00390625" customWidth="1"/>
    <col min="19" max="22" style="2875" width="8.00390625" customWidth="1"/>
    <col min="23" max="256" style="2774" width="8.00390625" customWidth="1"/>
    <col min="257" max="257" style="2774" width="9.140625" hidden="1"/>
  </cols>
  <sheetData>
    <row customHeight="1" ht="22.5" hidden="1">
      <c r="IW1" s="1687" t="s">
        <v>14</v>
      </c>
    </row>
    <row s="2911" customFormat="1" customHeight="1" ht="22.5" hidden="1">
      <c r="A2" s="887"/>
      <c r="B2" s="1422">
        <v>1</v>
      </c>
      <c r="C2" s="1422"/>
      <c r="D2" s="1984" t="s">
        <v>109</v>
      </c>
      <c r="E2" s="1960"/>
      <c r="F2" s="1962" t="str">
        <f>IF(ROIV_INFO_NAME="","",ROIV_INFO_NAME)</f>
        <v>МУП ЖКХ "Родник"</v>
      </c>
      <c r="G2" s="1788" t="s">
        <v>28</v>
      </c>
      <c r="H2" s="1972"/>
      <c r="I2" s="1594"/>
      <c r="J2" s="874"/>
      <c r="K2" s="874"/>
      <c r="L2" s="284"/>
      <c r="M2" s="1591">
        <f>MERGEVALUE(F2)</f>
      </c>
      <c r="N2" s="1692"/>
      <c r="O2" s="1692"/>
      <c r="P2" s="1680" t="str">
        <f t="array" ref="P2:P2">IF(ISERROR(MATCH(MID(Q2,1,250),MID(note_ter,1,250),0)),"n","y")</f>
        <v>n</v>
      </c>
      <c r="Q2" s="1692"/>
      <c r="R2" s="1680" t="str">
        <f>G2&amp;"("&amp;L2&amp;")"</f>
        <v>()</v>
      </c>
      <c r="S2" s="1422"/>
      <c r="T2" s="1422"/>
      <c r="U2" s="476"/>
      <c r="V2" s="1422"/>
      <c r="W2" s="1422"/>
      <c r="X2" s="1422"/>
      <c r="Y2" s="889"/>
      <c r="Z2" s="889"/>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683"/>
      <c r="BE2" s="683"/>
      <c r="BF2" s="683"/>
      <c r="BG2" s="683"/>
      <c r="BH2" s="683"/>
      <c r="BI2" s="683"/>
      <c r="BJ2" s="683"/>
      <c r="BK2" s="683"/>
      <c r="BL2" s="683"/>
      <c r="BM2" s="683"/>
      <c r="BN2" s="683"/>
      <c r="BO2" s="683"/>
      <c r="BP2" s="683"/>
      <c r="BQ2" s="683"/>
      <c r="BR2" s="683"/>
      <c r="BS2" s="683"/>
      <c r="BT2" s="683"/>
      <c r="BU2" s="683"/>
      <c r="BV2" s="889"/>
      <c r="BW2" s="889"/>
      <c r="BX2" s="889"/>
      <c r="BY2" s="889"/>
      <c r="BZ2" s="889"/>
      <c r="CA2" s="889"/>
      <c r="CB2" s="889"/>
      <c r="CC2" s="889"/>
      <c r="CD2" s="889"/>
      <c r="CE2" s="889"/>
      <c r="IW2" s="680">
        <v>0</v>
      </c>
    </row>
    <row s="2851" customFormat="1" customHeight="1" ht="5.25" hidden="1">
      <c r="A3" s="1697"/>
      <c r="D3" s="1949"/>
      <c r="F3" s="304" t="s">
        <v>87</v>
      </c>
      <c r="G3" s="1791" t="s">
        <v>88</v>
      </c>
      <c r="H3" s="1949"/>
      <c r="I3" s="1949"/>
      <c r="J3" s="1949"/>
      <c r="K3" s="1949"/>
      <c r="L3" s="283" t="s">
        <v>89</v>
      </c>
      <c r="M3" s="304" t="s">
        <v>87</v>
      </c>
      <c r="N3" s="304"/>
      <c r="O3" s="304"/>
      <c r="P3" s="304"/>
      <c r="Q3" s="304"/>
      <c r="R3" s="304"/>
      <c r="S3" s="304"/>
      <c r="T3" s="304"/>
      <c r="U3" s="304"/>
      <c r="V3" s="304"/>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c r="BE3" s="283"/>
      <c r="BF3" s="283"/>
      <c r="BG3" s="283"/>
      <c r="BH3" s="283"/>
      <c r="BI3" s="283"/>
      <c r="BJ3" s="283"/>
      <c r="BK3" s="283"/>
      <c r="BL3" s="283"/>
      <c r="BM3" s="283"/>
      <c r="BN3" s="283"/>
      <c r="BO3" s="283"/>
      <c r="BP3" s="283"/>
      <c r="BQ3" s="283"/>
      <c r="BR3" s="283"/>
      <c r="BS3" s="283"/>
      <c r="BT3" s="283"/>
      <c r="BU3" s="283"/>
      <c r="BV3" s="283"/>
      <c r="BW3" s="283"/>
      <c r="BX3" s="283"/>
      <c r="BY3" s="283"/>
      <c r="BZ3" s="283"/>
      <c r="CA3" s="283"/>
      <c r="CB3" s="283"/>
      <c r="CC3" s="283"/>
      <c r="CD3" s="283"/>
      <c r="CE3" s="283"/>
      <c r="CF3" s="283"/>
      <c r="CG3" s="283"/>
      <c r="CH3" s="283"/>
      <c r="CI3" s="283"/>
      <c r="CJ3" s="283"/>
      <c r="CK3" s="283"/>
      <c r="CL3" s="283"/>
      <c r="CM3" s="283"/>
      <c r="CN3" s="283"/>
      <c r="CO3" s="283"/>
      <c r="CP3" s="283"/>
      <c r="CQ3" s="283"/>
      <c r="CR3" s="283"/>
      <c r="CS3" s="283"/>
      <c r="CT3" s="283"/>
      <c r="CU3" s="283"/>
      <c r="CV3" s="283"/>
      <c r="CW3" s="283"/>
      <c r="CX3" s="283"/>
      <c r="CY3" s="283"/>
      <c r="CZ3" s="283"/>
      <c r="DA3" s="283"/>
      <c r="DB3" s="283"/>
      <c r="DC3" s="283"/>
      <c r="DD3" s="283"/>
      <c r="DE3" s="283"/>
      <c r="DF3" s="283"/>
      <c r="DG3" s="283"/>
      <c r="DH3" s="283"/>
      <c r="DI3" s="283"/>
      <c r="DJ3" s="283"/>
      <c r="DK3" s="283"/>
      <c r="DL3" s="283"/>
      <c r="DM3" s="283"/>
      <c r="DN3" s="283"/>
      <c r="DO3" s="283"/>
      <c r="DP3" s="283"/>
      <c r="DQ3" s="283"/>
      <c r="DR3" s="283"/>
      <c r="DS3" s="283"/>
      <c r="DT3" s="283"/>
      <c r="DU3" s="283"/>
      <c r="DV3" s="283"/>
      <c r="DW3" s="283"/>
      <c r="DX3" s="283"/>
      <c r="DY3" s="283"/>
      <c r="DZ3" s="283"/>
      <c r="EA3" s="283"/>
      <c r="EB3" s="283"/>
      <c r="EC3" s="283"/>
      <c r="ED3" s="283"/>
      <c r="EE3" s="283"/>
      <c r="EF3" s="283"/>
      <c r="EG3" s="283"/>
      <c r="EH3" s="283"/>
      <c r="EI3" s="283"/>
      <c r="EJ3" s="283"/>
      <c r="EK3" s="283"/>
      <c r="EL3" s="283"/>
      <c r="EM3" s="283"/>
      <c r="EN3" s="283"/>
      <c r="EO3" s="283"/>
      <c r="EP3" s="283"/>
      <c r="EQ3" s="283"/>
      <c r="ER3" s="283"/>
      <c r="ES3" s="283"/>
      <c r="ET3" s="283"/>
      <c r="EU3" s="283"/>
      <c r="EV3" s="283"/>
      <c r="EW3" s="283"/>
      <c r="EX3" s="283"/>
      <c r="EY3" s="283"/>
      <c r="EZ3" s="283"/>
      <c r="FA3" s="283"/>
      <c r="FB3" s="283"/>
      <c r="FC3" s="283"/>
      <c r="FD3" s="283"/>
      <c r="FE3" s="283"/>
      <c r="FF3" s="283"/>
      <c r="FG3" s="283"/>
      <c r="FH3" s="283"/>
      <c r="FI3" s="283"/>
      <c r="FJ3" s="283"/>
      <c r="FK3" s="283"/>
      <c r="FL3" s="283"/>
      <c r="FM3" s="283"/>
      <c r="FN3" s="283"/>
      <c r="FO3" s="283"/>
      <c r="FP3" s="283"/>
      <c r="FQ3" s="283"/>
      <c r="FR3" s="283"/>
      <c r="FS3" s="283"/>
      <c r="FT3" s="283"/>
      <c r="FU3" s="283"/>
      <c r="FV3" s="283"/>
      <c r="FW3" s="283"/>
      <c r="FX3" s="283"/>
      <c r="FY3" s="283"/>
      <c r="FZ3" s="283"/>
      <c r="GA3" s="283"/>
      <c r="GB3" s="283"/>
      <c r="GC3" s="283"/>
      <c r="GD3" s="283"/>
      <c r="GE3" s="283"/>
      <c r="GF3" s="283"/>
      <c r="GG3" s="283"/>
      <c r="GH3" s="283"/>
      <c r="GI3" s="283"/>
      <c r="GJ3" s="283"/>
      <c r="GK3" s="283"/>
      <c r="GL3" s="283"/>
      <c r="GM3" s="283"/>
      <c r="GN3" s="283"/>
      <c r="GO3" s="283"/>
      <c r="GP3" s="283"/>
      <c r="GQ3" s="283"/>
      <c r="GR3" s="283"/>
      <c r="GS3" s="283"/>
      <c r="GT3" s="283"/>
      <c r="GU3" s="283"/>
      <c r="GV3" s="283"/>
      <c r="GW3" s="283"/>
      <c r="GX3" s="283"/>
      <c r="GY3" s="283"/>
      <c r="GZ3" s="283"/>
      <c r="HA3" s="283"/>
      <c r="HB3" s="283"/>
      <c r="HC3" s="283"/>
      <c r="HD3" s="283"/>
      <c r="HE3" s="283"/>
      <c r="HF3" s="283"/>
      <c r="HG3" s="283"/>
      <c r="HH3" s="283"/>
      <c r="HI3" s="283"/>
      <c r="HJ3" s="283"/>
      <c r="HK3" s="283"/>
      <c r="HL3" s="283"/>
      <c r="HM3" s="283"/>
      <c r="HN3" s="283"/>
      <c r="HO3" s="283"/>
      <c r="HP3" s="283"/>
      <c r="HQ3" s="283"/>
      <c r="HR3" s="283"/>
      <c r="HS3" s="283"/>
      <c r="HT3" s="283"/>
      <c r="HU3" s="283"/>
      <c r="HV3" s="283"/>
      <c r="HW3" s="283"/>
      <c r="HX3" s="283"/>
      <c r="HY3" s="283"/>
      <c r="HZ3" s="283"/>
      <c r="IA3" s="283"/>
      <c r="IB3" s="283"/>
      <c r="IC3" s="283"/>
      <c r="ID3" s="283"/>
      <c r="IE3" s="283"/>
      <c r="IF3" s="283"/>
      <c r="IG3" s="283"/>
      <c r="IH3" s="283"/>
      <c r="II3" s="283"/>
      <c r="IJ3" s="283"/>
      <c r="IK3" s="283"/>
      <c r="IL3" s="283"/>
      <c r="IM3" s="283"/>
      <c r="IN3" s="283"/>
      <c r="IO3" s="283"/>
      <c r="IP3" s="283"/>
      <c r="IQ3" s="283"/>
      <c r="IR3" s="283"/>
      <c r="IS3" s="283"/>
      <c r="IT3" s="283"/>
      <c r="IU3" s="283"/>
      <c r="IV3" s="283"/>
      <c r="IW3" s="1692">
        <v>0</v>
      </c>
    </row>
    <row s="2866" customFormat="1" customHeight="1" ht="14.699999999999998">
      <c r="A4" s="1687"/>
      <c r="B4" s="1422"/>
      <c r="C4" s="1687"/>
      <c r="D4" s="1571"/>
      <c r="E4" s="1691"/>
      <c r="F4" s="1691"/>
      <c r="G4" s="1691"/>
      <c r="H4" s="1691"/>
      <c r="I4" s="1691"/>
      <c r="J4" s="1691"/>
      <c r="K4" s="1691"/>
      <c r="L4" s="1951"/>
      <c r="M4" s="304"/>
      <c r="N4" s="1680"/>
      <c r="O4" s="1680"/>
      <c r="P4" s="1680"/>
      <c r="Q4" s="1680"/>
      <c r="R4" s="1680"/>
      <c r="S4" s="281"/>
      <c r="T4" s="281"/>
      <c r="U4" s="281"/>
      <c r="V4" s="281"/>
      <c r="IW4" s="1665">
        <v>14</v>
      </c>
    </row>
    <row s="2866" customFormat="1" customHeight="1" ht="27.299999999999997">
      <c r="A5" s="1687"/>
      <c r="B5" s="1422"/>
      <c r="C5" s="1687"/>
      <c r="D5" s="1571"/>
      <c r="E5" s="215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156"/>
      <c r="G5" s="2156"/>
      <c r="H5" s="2156"/>
      <c r="I5" s="2156"/>
      <c r="J5" s="2156"/>
      <c r="K5" s="2156"/>
      <c r="L5" s="1691"/>
      <c r="M5" s="304"/>
      <c r="N5" s="1680"/>
      <c r="O5" s="1680"/>
      <c r="P5" s="1680"/>
      <c r="Q5" s="1680"/>
      <c r="R5" s="1680"/>
      <c r="S5" s="281"/>
      <c r="T5" s="281"/>
      <c r="U5" s="281"/>
      <c r="V5" s="281"/>
      <c r="IW5" s="1665">
        <v>26</v>
      </c>
    </row>
    <row s="2866" customFormat="1" customHeight="1" ht="14.699999999999998">
      <c r="A6" s="1687"/>
      <c r="B6" s="1422"/>
      <c r="C6" s="1687"/>
      <c r="D6" s="1571"/>
      <c r="E6" s="1691"/>
      <c r="F6" s="672"/>
      <c r="G6" s="672"/>
      <c r="H6" s="672"/>
      <c r="I6" s="672"/>
      <c r="J6" s="672"/>
      <c r="K6" s="672"/>
      <c r="L6" s="1308"/>
      <c r="M6" s="1680"/>
      <c r="N6" s="1680"/>
      <c r="O6" s="1680"/>
      <c r="P6" s="1680"/>
      <c r="Q6" s="1680"/>
      <c r="R6" s="1680"/>
      <c r="S6" s="281"/>
      <c r="T6" s="281"/>
      <c r="U6" s="281"/>
      <c r="V6" s="281"/>
      <c r="IW6" s="1665">
        <v>14</v>
      </c>
    </row>
    <row s="2866" customFormat="1" customHeight="1" ht="14.699999999999998">
      <c r="A7" s="1687"/>
      <c r="B7" s="1422"/>
      <c r="C7" s="1687"/>
      <c r="D7" s="1571"/>
      <c r="E7" s="2157" t="s">
        <v>432</v>
      </c>
      <c r="F7" s="2158"/>
      <c r="G7" s="2158"/>
      <c r="H7" s="2158"/>
      <c r="I7" s="2158"/>
      <c r="J7" s="2158"/>
      <c r="K7" s="2158"/>
      <c r="L7" s="2530" t="s">
        <v>433</v>
      </c>
      <c r="M7" s="1680"/>
      <c r="N7" s="1680"/>
      <c r="O7" s="1680"/>
      <c r="P7" s="1680"/>
      <c r="Q7" s="1680"/>
      <c r="R7" s="1680"/>
      <c r="S7" s="281"/>
      <c r="T7" s="281"/>
      <c r="U7" s="281"/>
      <c r="V7" s="281"/>
      <c r="IW7" s="1665">
        <v>14</v>
      </c>
    </row>
    <row s="2866" customFormat="1" customHeight="1" ht="67.2">
      <c r="A8" s="1687"/>
      <c r="B8" s="1422"/>
      <c r="C8" s="1687"/>
      <c r="D8" s="1571"/>
      <c r="E8" s="2534" t="s">
        <v>92</v>
      </c>
      <c r="F8" s="2534" t="s">
        <v>2013</v>
      </c>
      <c r="G8" s="2536" t="s">
        <v>2014</v>
      </c>
      <c r="H8" s="2537"/>
      <c r="I8" s="2538"/>
      <c r="J8" s="2534" t="s">
        <v>2015</v>
      </c>
      <c r="K8" s="253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2"/>
      <c r="M8" s="1680"/>
      <c r="N8" s="1680"/>
      <c r="O8" s="1680"/>
      <c r="P8" s="1680"/>
      <c r="Q8" s="1680"/>
      <c r="R8" s="1680"/>
      <c r="S8" s="281"/>
      <c r="T8" s="281"/>
      <c r="U8" s="281"/>
      <c r="V8" s="281"/>
      <c r="IW8" s="1665">
        <v>64</v>
      </c>
    </row>
    <row s="2866" customFormat="1" customHeight="1" ht="29.25">
      <c r="A9" s="1687"/>
      <c r="B9" s="1422"/>
      <c r="C9" s="1687"/>
      <c r="D9" s="1571"/>
      <c r="E9" s="2535"/>
      <c r="F9" s="2535"/>
      <c r="G9" s="1950" t="s">
        <v>2009</v>
      </c>
      <c r="H9" s="1950" t="s">
        <v>2010</v>
      </c>
      <c r="I9" s="1950" t="s">
        <v>2011</v>
      </c>
      <c r="J9" s="2535"/>
      <c r="K9" s="2535"/>
      <c r="L9" s="2531"/>
      <c r="M9" s="1680"/>
      <c r="N9" s="1680"/>
      <c r="O9" s="1680"/>
      <c r="P9" s="1680"/>
      <c r="Q9" s="1680"/>
      <c r="R9" s="1680"/>
      <c r="S9" s="281"/>
      <c r="T9" s="281"/>
      <c r="U9" s="281"/>
      <c r="V9" s="281"/>
      <c r="IW9" s="1665">
        <v>28</v>
      </c>
    </row>
    <row s="2911" customFormat="1" customHeight="1" ht="1.05">
      <c r="A10" s="2155"/>
      <c r="B10" s="1422">
        <v>1</v>
      </c>
      <c r="C10" s="1422"/>
      <c r="D10" s="856"/>
      <c r="E10" s="851">
        <v>0</v>
      </c>
      <c r="F10" s="1947" t="str">
        <f>IF(ROIV_INFO_NAME="","",ROIV_INFO_NAME)</f>
        <v>МУП ЖКХ "Родник"</v>
      </c>
      <c r="G10" s="1789" t="s">
        <v>28</v>
      </c>
      <c r="H10" s="1959"/>
      <c r="I10" s="1959"/>
      <c r="J10" s="575"/>
      <c r="K10" s="575"/>
      <c r="L10" s="2488"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91">
        <f>MERGEVALUE(F10)</f>
      </c>
      <c r="N10" s="1692"/>
      <c r="O10" s="1692"/>
      <c r="P10" s="1680" t="str">
        <f t="array" ref="P10:P10">IF(ISERROR(MATCH(MID(Q10,1,250),MID(note_ter,1,250),0)),"n","y")</f>
        <v>n</v>
      </c>
      <c r="Q10" s="1692"/>
      <c r="R10" s="168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22"/>
      <c r="T10" s="1422"/>
      <c r="U10" s="476"/>
      <c r="V10" s="1422"/>
      <c r="W10" s="1422"/>
      <c r="X10" s="1422"/>
      <c r="Y10" s="889"/>
      <c r="Z10" s="889"/>
      <c r="AA10" s="683"/>
      <c r="AB10" s="683"/>
      <c r="AC10" s="683"/>
      <c r="AD10" s="683"/>
      <c r="AE10" s="683"/>
      <c r="AF10" s="683"/>
      <c r="AG10" s="683"/>
      <c r="AH10" s="683"/>
      <c r="AI10" s="683"/>
      <c r="AJ10" s="683"/>
      <c r="AK10" s="683"/>
      <c r="AL10" s="683"/>
      <c r="AM10" s="683"/>
      <c r="AN10" s="683"/>
      <c r="AO10" s="683"/>
      <c r="AP10" s="683"/>
      <c r="AQ10" s="683"/>
      <c r="AR10" s="683"/>
      <c r="AS10" s="683"/>
      <c r="AT10" s="683"/>
      <c r="AU10" s="683"/>
      <c r="AV10" s="683"/>
      <c r="AW10" s="683"/>
      <c r="AX10" s="683"/>
      <c r="AY10" s="683"/>
      <c r="AZ10" s="683"/>
      <c r="BA10" s="683"/>
      <c r="BB10" s="683"/>
      <c r="BC10" s="683"/>
      <c r="BD10" s="683"/>
      <c r="BE10" s="683"/>
      <c r="BF10" s="683"/>
      <c r="BG10" s="683"/>
      <c r="BH10" s="683"/>
      <c r="BI10" s="683"/>
      <c r="BJ10" s="683"/>
      <c r="BK10" s="683"/>
      <c r="BL10" s="683"/>
      <c r="BM10" s="683"/>
      <c r="BN10" s="683"/>
      <c r="BO10" s="683"/>
      <c r="BP10" s="683"/>
      <c r="BQ10" s="683"/>
      <c r="BR10" s="683"/>
      <c r="BS10" s="683"/>
      <c r="BT10" s="683"/>
      <c r="BU10" s="683"/>
      <c r="BV10" s="889"/>
      <c r="BW10" s="889"/>
      <c r="BX10" s="889"/>
      <c r="BY10" s="889"/>
      <c r="BZ10" s="889"/>
      <c r="CA10" s="889"/>
      <c r="CB10" s="889"/>
      <c r="CC10" s="889"/>
      <c r="CD10" s="889"/>
      <c r="CE10" s="889"/>
      <c r="IW10" s="680">
        <v>1</v>
      </c>
    </row>
    <row s="2911" customFormat="1" customHeight="1" ht="15.75">
      <c r="A11" s="2155"/>
      <c r="B11" s="1422"/>
      <c r="C11" s="468"/>
      <c r="D11" s="857"/>
      <c r="E11" s="477"/>
      <c r="F11" s="707" t="s">
        <v>2012</v>
      </c>
      <c r="G11" s="243"/>
      <c r="H11" s="243"/>
      <c r="I11" s="243"/>
      <c r="J11" s="243"/>
      <c r="K11" s="480"/>
      <c r="L11" s="2533"/>
      <c r="M11" s="1592"/>
      <c r="N11" s="1692"/>
      <c r="O11" s="1692"/>
      <c r="P11" s="1692"/>
      <c r="Q11" s="1680"/>
      <c r="R11" s="1692"/>
      <c r="S11" s="1422"/>
      <c r="T11" s="1422"/>
      <c r="U11" s="476"/>
      <c r="V11" s="1422"/>
      <c r="W11" s="1422"/>
      <c r="X11" s="1422"/>
      <c r="Y11" s="889"/>
      <c r="Z11" s="889"/>
      <c r="AA11" s="683"/>
      <c r="AB11" s="683"/>
      <c r="AC11" s="683"/>
      <c r="AD11" s="683"/>
      <c r="AE11" s="683"/>
      <c r="AF11" s="683"/>
      <c r="AG11" s="683"/>
      <c r="AH11" s="683"/>
      <c r="AI11" s="683"/>
      <c r="AJ11" s="683"/>
      <c r="AK11" s="683"/>
      <c r="AL11" s="683"/>
      <c r="AM11" s="683"/>
      <c r="AN11" s="683"/>
      <c r="AO11" s="683"/>
      <c r="AP11" s="683"/>
      <c r="AQ11" s="683"/>
      <c r="AR11" s="683"/>
      <c r="AS11" s="683"/>
      <c r="AT11" s="683"/>
      <c r="AU11" s="683"/>
      <c r="AV11" s="683"/>
      <c r="AW11" s="683"/>
      <c r="AX11" s="683"/>
      <c r="AY11" s="683"/>
      <c r="AZ11" s="683"/>
      <c r="BA11" s="683"/>
      <c r="BB11" s="683"/>
      <c r="BC11" s="683"/>
      <c r="BD11" s="683"/>
      <c r="BE11" s="683"/>
      <c r="BF11" s="683"/>
      <c r="BG11" s="683"/>
      <c r="BH11" s="683"/>
      <c r="BI11" s="683"/>
      <c r="BJ11" s="683"/>
      <c r="BK11" s="683"/>
      <c r="BL11" s="683"/>
      <c r="BM11" s="683"/>
      <c r="BN11" s="683"/>
      <c r="BO11" s="683"/>
      <c r="BP11" s="683"/>
      <c r="BQ11" s="683"/>
      <c r="BR11" s="683"/>
      <c r="BS11" s="683"/>
      <c r="BT11" s="683"/>
      <c r="BU11" s="683"/>
      <c r="BV11" s="889"/>
      <c r="BW11" s="889"/>
      <c r="BX11" s="889"/>
      <c r="BY11" s="889"/>
      <c r="BZ11" s="889"/>
      <c r="CA11" s="889"/>
      <c r="CB11" s="889"/>
      <c r="CC11" s="889"/>
      <c r="CD11" s="889"/>
      <c r="CE11" s="889"/>
      <c r="IW11" s="680">
        <v>15</v>
      </c>
    </row>
    <row s="2866" customFormat="1" customHeight="1" ht="22.049999999999997">
      <c r="A12" s="1687"/>
      <c r="B12" s="1422"/>
      <c r="C12" s="1687"/>
      <c r="D12" s="1689"/>
      <c r="E12" s="236"/>
      <c r="F12" s="236"/>
      <c r="G12" s="236"/>
      <c r="H12" s="236"/>
      <c r="I12" s="236"/>
      <c r="J12" s="236"/>
      <c r="K12" s="236"/>
      <c r="L12" s="236"/>
      <c r="M12" s="1680"/>
      <c r="N12" s="1680"/>
      <c r="O12" s="1680"/>
      <c r="P12" s="1680"/>
      <c r="Q12" s="1680"/>
      <c r="R12" s="1680"/>
      <c r="S12" s="281"/>
      <c r="T12" s="281"/>
      <c r="U12" s="281"/>
      <c r="V12" s="281"/>
      <c r="IW12" s="1665">
        <v>21</v>
      </c>
    </row>
    <row s="2866" customFormat="1" customHeight="1" ht="14.699999999999998">
      <c r="A13" s="1687"/>
      <c r="B13" s="1422"/>
      <c r="C13" s="1687"/>
      <c r="D13" s="1689"/>
      <c r="E13" s="1687"/>
      <c r="F13" s="1687"/>
      <c r="G13" s="1687"/>
      <c r="H13" s="1687"/>
      <c r="I13" s="1687"/>
      <c r="J13" s="1687"/>
      <c r="K13" s="1687"/>
      <c r="L13" s="1687"/>
      <c r="M13" s="1680"/>
      <c r="N13" s="1680"/>
      <c r="O13" s="1680"/>
      <c r="P13" s="1680"/>
      <c r="Q13" s="1680"/>
      <c r="R13" s="1680"/>
      <c r="S13" s="281"/>
      <c r="T13" s="281"/>
      <c r="U13" s="281"/>
      <c r="V13" s="281"/>
      <c r="IW13" s="1665">
        <v>14</v>
      </c>
    </row>
    <row s="2866" customFormat="1" customHeight="1" ht="1.05">
      <c r="A14" s="1687"/>
      <c r="B14" s="1422"/>
      <c r="C14" s="1687"/>
      <c r="D14" s="1689"/>
      <c r="E14" s="1687"/>
      <c r="F14" s="1687"/>
      <c r="G14" s="1687"/>
      <c r="H14" s="1687"/>
      <c r="I14" s="1687"/>
      <c r="J14" s="1687"/>
      <c r="K14" s="1687"/>
      <c r="L14" s="1687"/>
      <c r="M14" s="1680"/>
      <c r="N14" s="1680"/>
      <c r="O14" s="1680"/>
      <c r="P14" s="1680"/>
      <c r="Q14" s="1680"/>
      <c r="R14" s="1680"/>
      <c r="S14" s="281"/>
      <c r="T14" s="281"/>
      <c r="U14" s="281"/>
      <c r="V14" s="281"/>
      <c r="IW14" s="1665">
        <v>1</v>
      </c>
    </row>
    <row customHeight="1" ht="22.5" hidden="1">
      <c r="A15" s="1687" t="s">
        <v>86</v>
      </c>
      <c r="B15" s="1422">
        <v>0</v>
      </c>
      <c r="C15" s="1687">
        <v>0</v>
      </c>
      <c r="D15" s="1689">
        <v>3</v>
      </c>
      <c r="E15" s="1687">
        <v>6</v>
      </c>
      <c r="F15" s="1687">
        <v>27</v>
      </c>
      <c r="G15" s="1687">
        <v>16</v>
      </c>
      <c r="H15" s="1687">
        <v>12</v>
      </c>
      <c r="I15" s="1687">
        <v>32</v>
      </c>
      <c r="J15" s="1687">
        <v>41</v>
      </c>
      <c r="K15" s="1687">
        <v>41</v>
      </c>
      <c r="L15" s="1687">
        <v>89</v>
      </c>
      <c r="M15" s="1680">
        <v>3</v>
      </c>
      <c r="N15" s="1680">
        <v>8</v>
      </c>
      <c r="O15" s="1680">
        <v>8</v>
      </c>
      <c r="P15" s="1680">
        <v>8</v>
      </c>
      <c r="Q15" s="1680">
        <v>25</v>
      </c>
      <c r="R15" s="1680">
        <v>14</v>
      </c>
      <c r="S15" s="281">
        <v>8</v>
      </c>
      <c r="T15" s="281">
        <v>8</v>
      </c>
      <c r="U15" s="281">
        <v>8</v>
      </c>
      <c r="V15" s="281">
        <v>8</v>
      </c>
      <c r="W15" s="1687">
        <v>8</v>
      </c>
      <c r="X15" s="1687">
        <v>8</v>
      </c>
      <c r="Y15" s="1687">
        <v>8</v>
      </c>
      <c r="Z15" s="1687">
        <v>8</v>
      </c>
      <c r="AA15" s="1687">
        <v>8</v>
      </c>
      <c r="AB15" s="1687">
        <v>8</v>
      </c>
      <c r="AC15" s="1687">
        <v>8</v>
      </c>
      <c r="AD15" s="1687">
        <v>8</v>
      </c>
      <c r="AE15" s="1687">
        <v>8</v>
      </c>
      <c r="AF15" s="1687">
        <v>8</v>
      </c>
      <c r="AG15" s="1687">
        <v>8</v>
      </c>
      <c r="AH15" s="1687">
        <v>8</v>
      </c>
      <c r="AI15" s="1687">
        <v>8</v>
      </c>
      <c r="AJ15" s="1687">
        <v>8</v>
      </c>
      <c r="AK15" s="1687">
        <v>8</v>
      </c>
      <c r="AL15" s="1687">
        <v>8</v>
      </c>
      <c r="AM15" s="1687">
        <v>8</v>
      </c>
      <c r="AN15" s="1687">
        <v>8</v>
      </c>
      <c r="AO15" s="1687">
        <v>8</v>
      </c>
      <c r="AP15" s="1687">
        <v>8</v>
      </c>
      <c r="AQ15" s="1687">
        <v>8</v>
      </c>
      <c r="AR15" s="1687">
        <v>8</v>
      </c>
      <c r="AS15" s="1687">
        <v>8</v>
      </c>
      <c r="AT15" s="1687">
        <v>8</v>
      </c>
      <c r="AU15" s="1687">
        <v>8</v>
      </c>
      <c r="AV15" s="1687">
        <v>8</v>
      </c>
      <c r="AW15" s="1687">
        <v>8</v>
      </c>
      <c r="AX15" s="1687">
        <v>8</v>
      </c>
      <c r="AY15" s="1687">
        <v>8</v>
      </c>
      <c r="AZ15" s="1687">
        <v>8</v>
      </c>
      <c r="BA15" s="1687">
        <v>8</v>
      </c>
      <c r="BB15" s="1687">
        <v>8</v>
      </c>
      <c r="BC15" s="1687">
        <v>8</v>
      </c>
      <c r="BD15" s="1687">
        <v>8</v>
      </c>
      <c r="BE15" s="1687">
        <v>8</v>
      </c>
      <c r="BF15" s="1687">
        <v>8</v>
      </c>
      <c r="BG15" s="1687">
        <v>8</v>
      </c>
      <c r="BH15" s="1687">
        <v>8</v>
      </c>
      <c r="BI15" s="1687">
        <v>8</v>
      </c>
      <c r="BJ15" s="1687">
        <v>8</v>
      </c>
      <c r="BK15" s="1687">
        <v>8</v>
      </c>
      <c r="BL15" s="1687">
        <v>8</v>
      </c>
      <c r="BM15" s="1687">
        <v>8</v>
      </c>
      <c r="BN15" s="1687">
        <v>8</v>
      </c>
      <c r="BO15" s="1687">
        <v>8</v>
      </c>
      <c r="BP15" s="1687">
        <v>8</v>
      </c>
      <c r="BQ15" s="1687">
        <v>8</v>
      </c>
      <c r="BR15" s="1687">
        <v>8</v>
      </c>
      <c r="BS15" s="1687">
        <v>8</v>
      </c>
      <c r="BT15" s="1687">
        <v>8</v>
      </c>
      <c r="BU15" s="1687">
        <v>8</v>
      </c>
      <c r="BV15" s="1687">
        <v>8</v>
      </c>
      <c r="BW15" s="1687">
        <v>8</v>
      </c>
      <c r="BX15" s="1687">
        <v>8</v>
      </c>
      <c r="BY15" s="1687">
        <v>8</v>
      </c>
      <c r="BZ15" s="1687">
        <v>8</v>
      </c>
      <c r="CA15" s="1687">
        <v>8</v>
      </c>
      <c r="CB15" s="1687">
        <v>8</v>
      </c>
      <c r="CC15" s="1687">
        <v>8</v>
      </c>
      <c r="CD15" s="1687">
        <v>8</v>
      </c>
      <c r="CE15" s="1687">
        <v>8</v>
      </c>
      <c r="CF15" s="1687">
        <v>8</v>
      </c>
      <c r="CG15" s="1687">
        <v>8</v>
      </c>
      <c r="CH15" s="1687">
        <v>8</v>
      </c>
      <c r="CI15" s="1687">
        <v>8</v>
      </c>
      <c r="CJ15" s="1687">
        <v>8</v>
      </c>
      <c r="CK15" s="1687">
        <v>8</v>
      </c>
      <c r="CL15" s="1687">
        <v>8</v>
      </c>
      <c r="CM15" s="1687">
        <v>8</v>
      </c>
      <c r="CN15" s="1687">
        <v>8</v>
      </c>
      <c r="CO15" s="1687">
        <v>8</v>
      </c>
      <c r="CP15" s="1687">
        <v>8</v>
      </c>
      <c r="CQ15" s="1687">
        <v>8</v>
      </c>
      <c r="CR15" s="1687">
        <v>8</v>
      </c>
      <c r="CS15" s="1687">
        <v>8</v>
      </c>
      <c r="CT15" s="1687">
        <v>8</v>
      </c>
      <c r="CU15" s="1687">
        <v>8</v>
      </c>
      <c r="CV15" s="1687">
        <v>8</v>
      </c>
      <c r="CW15" s="1687">
        <v>8</v>
      </c>
      <c r="CX15" s="1687">
        <v>8</v>
      </c>
      <c r="CY15" s="1687">
        <v>8</v>
      </c>
      <c r="CZ15" s="1687">
        <v>8</v>
      </c>
      <c r="DA15" s="1687">
        <v>8</v>
      </c>
      <c r="DB15" s="1687">
        <v>8</v>
      </c>
      <c r="DC15" s="1687">
        <v>8</v>
      </c>
      <c r="DD15" s="1687">
        <v>8</v>
      </c>
      <c r="DE15" s="1687">
        <v>8</v>
      </c>
      <c r="DF15" s="1687">
        <v>8</v>
      </c>
      <c r="DG15" s="1687">
        <v>8</v>
      </c>
      <c r="DH15" s="1687">
        <v>8</v>
      </c>
      <c r="DI15" s="1687">
        <v>8</v>
      </c>
      <c r="DJ15" s="1687">
        <v>8</v>
      </c>
      <c r="DK15" s="1687">
        <v>8</v>
      </c>
      <c r="DL15" s="1687">
        <v>8</v>
      </c>
      <c r="DM15" s="1687">
        <v>8</v>
      </c>
      <c r="DN15" s="1687">
        <v>8</v>
      </c>
      <c r="DO15" s="1687">
        <v>8</v>
      </c>
      <c r="DP15" s="1687">
        <v>8</v>
      </c>
      <c r="DQ15" s="1687">
        <v>8</v>
      </c>
      <c r="DR15" s="1687">
        <v>8</v>
      </c>
      <c r="DS15" s="1687">
        <v>8</v>
      </c>
      <c r="DT15" s="1687">
        <v>8</v>
      </c>
      <c r="DU15" s="1687">
        <v>8</v>
      </c>
      <c r="DV15" s="1687">
        <v>8</v>
      </c>
      <c r="DW15" s="1687">
        <v>8</v>
      </c>
      <c r="DX15" s="1687">
        <v>8</v>
      </c>
      <c r="DY15" s="1687">
        <v>8</v>
      </c>
      <c r="DZ15" s="1687">
        <v>8</v>
      </c>
      <c r="EA15" s="1687">
        <v>8</v>
      </c>
      <c r="EB15" s="1687">
        <v>8</v>
      </c>
      <c r="EC15" s="1687">
        <v>8</v>
      </c>
      <c r="ED15" s="1687">
        <v>8</v>
      </c>
      <c r="EE15" s="1687">
        <v>8</v>
      </c>
      <c r="EF15" s="1687">
        <v>8</v>
      </c>
      <c r="EG15" s="1687">
        <v>8</v>
      </c>
      <c r="EH15" s="1687">
        <v>8</v>
      </c>
      <c r="EI15" s="1687">
        <v>8</v>
      </c>
      <c r="EJ15" s="1687">
        <v>8</v>
      </c>
      <c r="EK15" s="1687">
        <v>8</v>
      </c>
      <c r="EL15" s="1687">
        <v>8</v>
      </c>
      <c r="EM15" s="1687">
        <v>8</v>
      </c>
      <c r="EN15" s="1687">
        <v>8</v>
      </c>
      <c r="EO15" s="1687">
        <v>8</v>
      </c>
      <c r="EP15" s="1687">
        <v>8</v>
      </c>
      <c r="EQ15" s="1687">
        <v>8</v>
      </c>
      <c r="ER15" s="1687">
        <v>8</v>
      </c>
      <c r="ES15" s="1687">
        <v>8</v>
      </c>
      <c r="ET15" s="1687">
        <v>8</v>
      </c>
      <c r="EU15" s="1687">
        <v>8</v>
      </c>
      <c r="EV15" s="1687">
        <v>8</v>
      </c>
      <c r="EW15" s="1687">
        <v>8</v>
      </c>
      <c r="EX15" s="1687">
        <v>8</v>
      </c>
      <c r="EY15" s="1687">
        <v>8</v>
      </c>
      <c r="EZ15" s="1687">
        <v>8</v>
      </c>
      <c r="FA15" s="1687">
        <v>8</v>
      </c>
      <c r="FB15" s="1687">
        <v>8</v>
      </c>
      <c r="FC15" s="1687">
        <v>8</v>
      </c>
      <c r="FD15" s="1687">
        <v>8</v>
      </c>
      <c r="FE15" s="1687">
        <v>8</v>
      </c>
      <c r="FF15" s="1687">
        <v>8</v>
      </c>
      <c r="FG15" s="1687">
        <v>8</v>
      </c>
      <c r="FH15" s="1687">
        <v>8</v>
      </c>
      <c r="FI15" s="1687">
        <v>8</v>
      </c>
      <c r="FJ15" s="1687">
        <v>8</v>
      </c>
      <c r="FK15" s="1687">
        <v>8</v>
      </c>
      <c r="FL15" s="1687">
        <v>8</v>
      </c>
      <c r="FM15" s="1687">
        <v>8</v>
      </c>
      <c r="FN15" s="1687">
        <v>8</v>
      </c>
      <c r="FO15" s="1687">
        <v>8</v>
      </c>
      <c r="FP15" s="1687">
        <v>8</v>
      </c>
      <c r="FQ15" s="1687">
        <v>8</v>
      </c>
      <c r="FR15" s="1687">
        <v>8</v>
      </c>
      <c r="FS15" s="1687">
        <v>8</v>
      </c>
      <c r="FT15" s="1687">
        <v>8</v>
      </c>
      <c r="FU15" s="1687">
        <v>8</v>
      </c>
      <c r="FV15" s="1687">
        <v>8</v>
      </c>
      <c r="FW15" s="1687">
        <v>8</v>
      </c>
      <c r="FX15" s="1687">
        <v>8</v>
      </c>
      <c r="FY15" s="1687">
        <v>8</v>
      </c>
      <c r="FZ15" s="1687">
        <v>8</v>
      </c>
      <c r="GA15" s="1687">
        <v>8</v>
      </c>
      <c r="GB15" s="1687">
        <v>8</v>
      </c>
      <c r="GC15" s="1687">
        <v>8</v>
      </c>
      <c r="GD15" s="1687">
        <v>8</v>
      </c>
      <c r="GE15" s="1687">
        <v>8</v>
      </c>
      <c r="GF15" s="1687">
        <v>8</v>
      </c>
      <c r="GG15" s="1687">
        <v>8</v>
      </c>
      <c r="GH15" s="1687">
        <v>8</v>
      </c>
      <c r="GI15" s="1687">
        <v>8</v>
      </c>
      <c r="GJ15" s="1687">
        <v>8</v>
      </c>
      <c r="GK15" s="1687">
        <v>8</v>
      </c>
      <c r="GL15" s="1687">
        <v>8</v>
      </c>
      <c r="GM15" s="1687">
        <v>8</v>
      </c>
      <c r="GN15" s="1687">
        <v>8</v>
      </c>
      <c r="GO15" s="1687">
        <v>8</v>
      </c>
      <c r="GP15" s="1687">
        <v>8</v>
      </c>
      <c r="GQ15" s="1687">
        <v>8</v>
      </c>
      <c r="GR15" s="1687">
        <v>8</v>
      </c>
      <c r="GS15" s="1687">
        <v>8</v>
      </c>
      <c r="GT15" s="1687">
        <v>8</v>
      </c>
      <c r="GU15" s="1687">
        <v>8</v>
      </c>
      <c r="GV15" s="1687">
        <v>8</v>
      </c>
      <c r="GW15" s="1687">
        <v>8</v>
      </c>
      <c r="GX15" s="1687">
        <v>8</v>
      </c>
      <c r="GY15" s="1687">
        <v>8</v>
      </c>
      <c r="GZ15" s="1687">
        <v>8</v>
      </c>
      <c r="HA15" s="1687">
        <v>8</v>
      </c>
      <c r="HB15" s="1687">
        <v>8</v>
      </c>
      <c r="HC15" s="1687">
        <v>8</v>
      </c>
      <c r="HD15" s="1687">
        <v>8</v>
      </c>
      <c r="HE15" s="1687">
        <v>8</v>
      </c>
      <c r="HF15" s="1687">
        <v>8</v>
      </c>
      <c r="HG15" s="1687">
        <v>8</v>
      </c>
      <c r="HH15" s="1687">
        <v>8</v>
      </c>
      <c r="HI15" s="1687">
        <v>8</v>
      </c>
      <c r="HJ15" s="1687">
        <v>8</v>
      </c>
      <c r="HK15" s="1687">
        <v>8</v>
      </c>
      <c r="HL15" s="1687">
        <v>8</v>
      </c>
      <c r="HM15" s="1687">
        <v>8</v>
      </c>
      <c r="HN15" s="1687">
        <v>8</v>
      </c>
      <c r="HO15" s="1687">
        <v>8</v>
      </c>
      <c r="HP15" s="1687">
        <v>8</v>
      </c>
      <c r="HQ15" s="1687">
        <v>8</v>
      </c>
      <c r="HR15" s="1687">
        <v>8</v>
      </c>
      <c r="HS15" s="1687">
        <v>8</v>
      </c>
      <c r="HT15" s="1687">
        <v>8</v>
      </c>
      <c r="HU15" s="1687">
        <v>8</v>
      </c>
      <c r="HV15" s="1687">
        <v>8</v>
      </c>
      <c r="HW15" s="1687">
        <v>8</v>
      </c>
      <c r="HX15" s="1687">
        <v>8</v>
      </c>
      <c r="HY15" s="1687">
        <v>8</v>
      </c>
      <c r="HZ15" s="1687">
        <v>8</v>
      </c>
      <c r="IA15" s="1687">
        <v>8</v>
      </c>
      <c r="IB15" s="1687">
        <v>8</v>
      </c>
      <c r="IC15" s="1687">
        <v>8</v>
      </c>
      <c r="ID15" s="1687">
        <v>8</v>
      </c>
      <c r="IE15" s="1687">
        <v>8</v>
      </c>
      <c r="IF15" s="1687">
        <v>8</v>
      </c>
      <c r="IG15" s="1687">
        <v>8</v>
      </c>
      <c r="IH15" s="1687">
        <v>8</v>
      </c>
      <c r="II15" s="1687">
        <v>8</v>
      </c>
      <c r="IJ15" s="1687">
        <v>8</v>
      </c>
      <c r="IK15" s="1687">
        <v>8</v>
      </c>
      <c r="IL15" s="1687">
        <v>8</v>
      </c>
      <c r="IM15" s="1687">
        <v>8</v>
      </c>
      <c r="IN15" s="1687">
        <v>8</v>
      </c>
      <c r="IO15" s="1687">
        <v>8</v>
      </c>
      <c r="IP15" s="1687">
        <v>8</v>
      </c>
      <c r="IQ15" s="1687">
        <v>8</v>
      </c>
      <c r="IR15" s="1687">
        <v>8</v>
      </c>
      <c r="IS15" s="1687">
        <v>8</v>
      </c>
      <c r="IT15" s="1687">
        <v>8</v>
      </c>
      <c r="IU15" s="1687">
        <v>8</v>
      </c>
      <c r="IV15" s="1687">
        <v>8</v>
      </c>
      <c r="IW15" s="1687">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B72B6E-A979-FF59-4729-B837E16B1A45}" mc:Ignorable="x14ac xr xr2 xr3">
  <dimension ref="A1:Q19"/>
  <sheetViews>
    <sheetView topLeftCell="A1" showGridLines="0" zoomScale="90" workbookViewId="0">
      <selection activeCell="A1" sqref="A1"/>
    </sheetView>
  </sheetViews>
  <sheetFormatPr defaultColWidth="9.140625" customHeight="1" defaultRowHeight="14.25"/>
  <cols>
    <col min="1" max="1" style="2774" width="9.140625" hidden="1"/>
    <col min="2" max="2" style="2850" width="9.140625" hidden="1"/>
    <col min="3" max="3" style="2774" width="3.7109375" hidden="1" customWidth="1"/>
    <col min="4" max="4" style="2949" width="3.00390625" customWidth="1"/>
    <col min="5" max="5" style="2774" width="6.00390625" customWidth="1"/>
    <col min="6" max="6" style="2774" width="27.00390625" customWidth="1"/>
    <col min="7" max="7" style="2774" width="29.00390625" customWidth="1"/>
    <col min="8" max="8" style="2774" width="25.00390625" customWidth="1"/>
    <col min="9" max="9" style="2774" width="5.00390625" customWidth="1"/>
    <col min="10" max="10" style="2774" width="6.00390625" customWidth="1"/>
    <col min="11" max="11" style="2774" width="41.00390625" customWidth="1"/>
    <col min="12" max="12" style="2774" width="42.00390625" customWidth="1"/>
    <col min="13" max="13" style="2774" width="41.00390625" customWidth="1"/>
    <col min="14" max="14" style="2774" width="89.00390625" customWidth="1"/>
    <col min="15" max="15" style="2933" width="3.00390625" customWidth="1"/>
    <col min="16" max="16" style="2933" width="8.00390625" customWidth="1"/>
    <col min="17" max="17" style="2774" width="9.140625" hidden="1"/>
  </cols>
  <sheetData>
    <row customHeight="1" ht="22.5" hidden="1">
      <c r="Q1" s="1211" t="s">
        <v>14</v>
      </c>
    </row>
    <row s="2911" customFormat="1" customHeight="1" ht="22.5" hidden="1">
      <c r="A2" s="552"/>
      <c r="B2" s="1216">
        <v>1</v>
      </c>
      <c r="C2" s="1216"/>
      <c r="D2" s="1984" t="s">
        <v>109</v>
      </c>
      <c r="E2" s="2183">
        <v>1</v>
      </c>
      <c r="F2" s="2359" t="str">
        <f>IF(region_name="","",region_name)</f>
        <v>Курская область</v>
      </c>
      <c r="G2" s="2539"/>
      <c r="H2" s="2540"/>
      <c r="I2" s="530"/>
      <c r="J2" s="1966">
        <v>1</v>
      </c>
      <c r="K2" s="1968"/>
      <c r="L2" s="1968"/>
      <c r="M2" s="1968"/>
      <c r="N2" s="548"/>
      <c r="O2" s="1591"/>
      <c r="P2" s="567"/>
      <c r="Q2" s="479">
        <v>0</v>
      </c>
    </row>
    <row s="2911" customFormat="1" customHeight="1" ht="22.5" hidden="1">
      <c r="A3" s="887"/>
      <c r="B3" s="1216"/>
      <c r="C3" s="1216"/>
      <c r="D3" s="857"/>
      <c r="E3" s="2183"/>
      <c r="F3" s="2359"/>
      <c r="G3" s="2539"/>
      <c r="H3" s="2541"/>
      <c r="I3" s="477"/>
      <c r="J3" s="1556"/>
      <c r="K3" s="1556" t="s">
        <v>2016</v>
      </c>
      <c r="L3" s="1599"/>
      <c r="M3" s="1976"/>
      <c r="N3" s="1969"/>
      <c r="O3" s="1591"/>
      <c r="P3" s="567"/>
      <c r="Q3" s="479">
        <v>0</v>
      </c>
    </row>
    <row s="2851" customFormat="1" customHeight="1" ht="5.25" hidden="1">
      <c r="A4" s="552"/>
      <c r="D4" s="550"/>
      <c r="F4" s="303" t="s">
        <v>87</v>
      </c>
      <c r="G4" s="550" t="s">
        <v>88</v>
      </c>
      <c r="H4" s="550"/>
      <c r="I4" s="1979"/>
      <c r="J4" s="1600"/>
      <c r="K4" s="1967"/>
      <c r="L4" s="1967"/>
      <c r="M4" s="1967"/>
      <c r="N4" s="1963"/>
      <c r="O4" s="303" t="s">
        <v>87</v>
      </c>
      <c r="P4" s="303"/>
      <c r="Q4" s="567">
        <v>0</v>
      </c>
    </row>
    <row s="2911" customFormat="1" customHeight="1" ht="22.5" hidden="1">
      <c r="A5" s="1697"/>
      <c r="B5" s="1422">
        <v>1</v>
      </c>
      <c r="C5" s="1422"/>
      <c r="D5" s="857"/>
      <c r="E5" s="1969"/>
      <c r="F5" s="1969"/>
      <c r="G5" s="1969"/>
      <c r="H5" s="1980"/>
      <c r="I5" s="1985" t="s">
        <v>109</v>
      </c>
      <c r="J5" s="1978">
        <v>1</v>
      </c>
      <c r="K5" s="1968"/>
      <c r="L5" s="1968"/>
      <c r="M5" s="1968"/>
      <c r="N5" s="548"/>
      <c r="O5" s="1591"/>
      <c r="P5" s="1692"/>
      <c r="Q5" s="680">
        <v>0</v>
      </c>
    </row>
    <row s="2866" customFormat="1" customHeight="1" ht="14.699999999999998">
      <c r="A6" s="1211"/>
      <c r="B6" s="1216"/>
      <c r="C6" s="1211"/>
      <c r="D6" s="1551"/>
      <c r="E6" s="565"/>
      <c r="F6" s="565"/>
      <c r="G6" s="565"/>
      <c r="H6" s="565"/>
      <c r="I6" s="565"/>
      <c r="J6" s="565"/>
      <c r="K6" s="565"/>
      <c r="L6" s="565"/>
      <c r="M6" s="565"/>
      <c r="N6" s="1691"/>
      <c r="O6" s="303"/>
      <c r="P6" s="556"/>
      <c r="Q6" s="563">
        <v>14</v>
      </c>
    </row>
    <row s="2866" customFormat="1" customHeight="1" ht="27.299999999999997">
      <c r="A7" s="1211"/>
      <c r="B7" s="1216"/>
      <c r="C7" s="1211"/>
      <c r="D7" s="1551"/>
      <c r="E7" s="254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6"/>
      <c r="G7" s="2546"/>
      <c r="H7" s="2546"/>
      <c r="I7" s="2546"/>
      <c r="J7" s="2546"/>
      <c r="K7" s="2546"/>
      <c r="L7" s="2546"/>
      <c r="M7" s="2546"/>
      <c r="N7" s="1308"/>
      <c r="O7" s="303"/>
      <c r="P7" s="556"/>
      <c r="Q7" s="563">
        <v>26</v>
      </c>
    </row>
    <row s="2866" customFormat="1" customHeight="1" ht="14.699999999999998">
      <c r="A8" s="1211"/>
      <c r="B8" s="1216"/>
      <c r="C8" s="1211"/>
      <c r="D8" s="1551"/>
      <c r="E8" s="565"/>
      <c r="F8" s="223"/>
      <c r="G8" s="223"/>
      <c r="H8" s="223"/>
      <c r="I8" s="223"/>
      <c r="J8" s="223"/>
      <c r="K8" s="223"/>
      <c r="L8" s="223"/>
      <c r="M8" s="223"/>
      <c r="N8" s="672"/>
      <c r="O8" s="556"/>
      <c r="P8" s="556"/>
      <c r="Q8" s="563">
        <v>14</v>
      </c>
    </row>
    <row s="13195" customFormat="1" customHeight="1" ht="14.25" hidden="1">
      <c r="A9" s="1524"/>
      <c r="B9" s="1534"/>
      <c r="C9" s="1524"/>
      <c r="D9" s="1551"/>
      <c r="E9" s="1970"/>
      <c r="F9" s="1970"/>
      <c r="G9" s="1970"/>
      <c r="H9" s="1970"/>
      <c r="I9" s="2549"/>
      <c r="J9" s="2549"/>
      <c r="K9" s="2549"/>
      <c r="L9" s="1970"/>
      <c r="M9" s="1971"/>
      <c r="O9" s="1601"/>
      <c r="P9" s="1601"/>
      <c r="Q9" s="1602">
        <v>0</v>
      </c>
    </row>
    <row s="2866" customFormat="1" customHeight="1" ht="14.699999999999998">
      <c r="A10" s="1211"/>
      <c r="B10" s="1216"/>
      <c r="C10" s="1211"/>
      <c r="D10" s="1551"/>
      <c r="E10" s="2183" t="s">
        <v>432</v>
      </c>
      <c r="F10" s="2183"/>
      <c r="G10" s="2183"/>
      <c r="H10" s="2183"/>
      <c r="I10" s="2183"/>
      <c r="J10" s="2183"/>
      <c r="K10" s="2183"/>
      <c r="L10" s="2183"/>
      <c r="M10" s="2157"/>
      <c r="N10" s="2534" t="s">
        <v>433</v>
      </c>
      <c r="O10" s="556"/>
      <c r="P10" s="556"/>
      <c r="Q10" s="563">
        <v>14</v>
      </c>
    </row>
    <row s="2866" customFormat="1" customHeight="1" ht="44.25">
      <c r="A11" s="1687"/>
      <c r="B11" s="1422"/>
      <c r="C11" s="1687"/>
      <c r="D11" s="1571"/>
      <c r="E11" s="2548" t="s">
        <v>92</v>
      </c>
      <c r="F11" s="2548" t="s">
        <v>436</v>
      </c>
      <c r="G11" s="2548" t="s">
        <v>2017</v>
      </c>
      <c r="H11" s="2548"/>
      <c r="I11" s="2548" t="s">
        <v>2018</v>
      </c>
      <c r="J11" s="2548"/>
      <c r="K11" s="2548"/>
      <c r="L11" s="2548" t="s">
        <v>2019</v>
      </c>
      <c r="M11" s="2536" t="s">
        <v>2020</v>
      </c>
      <c r="N11" s="2547"/>
      <c r="O11" s="1680"/>
      <c r="P11" s="1680"/>
      <c r="Q11" s="1665">
        <v>42</v>
      </c>
    </row>
    <row s="2866" customFormat="1" customHeight="1" ht="29.25">
      <c r="A12" s="1211"/>
      <c r="B12" s="1216"/>
      <c r="C12" s="1211"/>
      <c r="D12" s="1551"/>
      <c r="E12" s="2534"/>
      <c r="F12" s="2548"/>
      <c r="G12" s="1965" t="s">
        <v>2021</v>
      </c>
      <c r="H12" s="1965" t="s">
        <v>440</v>
      </c>
      <c r="I12" s="2548"/>
      <c r="J12" s="2548"/>
      <c r="K12" s="2548"/>
      <c r="L12" s="2548"/>
      <c r="M12" s="2536"/>
      <c r="N12" s="2535"/>
      <c r="O12" s="556"/>
      <c r="P12" s="556"/>
      <c r="Q12" s="563">
        <v>28</v>
      </c>
    </row>
    <row s="2911" customFormat="1" customHeight="1" ht="23.25">
      <c r="A13" s="2155">
        <v>26379339</v>
      </c>
      <c r="B13" s="1216">
        <v>1</v>
      </c>
      <c r="C13" s="1216"/>
      <c r="D13" s="857"/>
      <c r="E13" s="2183">
        <v>1</v>
      </c>
      <c r="F13" s="2542" t="str">
        <f>IF(region_name="","",region_name)</f>
        <v>Курская область</v>
      </c>
      <c r="G13" s="2543"/>
      <c r="H13" s="2550"/>
      <c r="I13" s="530"/>
      <c r="J13" s="1961">
        <v>1</v>
      </c>
      <c r="K13" s="1974"/>
      <c r="L13" s="1975"/>
      <c r="M13" s="1975"/>
      <c r="N13" s="2544" t="s">
        <v>2022</v>
      </c>
      <c r="O13" s="1591"/>
      <c r="P13" s="567"/>
      <c r="Q13" s="479">
        <v>22</v>
      </c>
    </row>
    <row s="2911" customFormat="1" customHeight="1" ht="23.25">
      <c r="A14" s="2155"/>
      <c r="B14" s="1216"/>
      <c r="C14" s="1216"/>
      <c r="D14" s="857"/>
      <c r="E14" s="2183"/>
      <c r="F14" s="2542"/>
      <c r="G14" s="2543"/>
      <c r="H14" s="2551"/>
      <c r="I14" s="477"/>
      <c r="J14" s="1556"/>
      <c r="K14" s="1556" t="s">
        <v>2016</v>
      </c>
      <c r="L14" s="1599"/>
      <c r="M14" s="1599"/>
      <c r="N14" s="2545"/>
      <c r="O14" s="1591"/>
      <c r="P14" s="567"/>
      <c r="Q14" s="479">
        <v>22</v>
      </c>
    </row>
    <row s="2911" customFormat="1" customHeight="1" ht="23.25">
      <c r="A15" s="2155"/>
      <c r="B15" s="1216"/>
      <c r="C15" s="468"/>
      <c r="D15" s="857"/>
      <c r="E15" s="477"/>
      <c r="F15" s="1556" t="s">
        <v>2008</v>
      </c>
      <c r="G15" s="1598"/>
      <c r="H15" s="1598"/>
      <c r="I15" s="243"/>
      <c r="J15" s="243"/>
      <c r="K15" s="243"/>
      <c r="L15" s="243"/>
      <c r="M15" s="243"/>
      <c r="N15" s="2545"/>
      <c r="O15" s="1592"/>
      <c r="P15" s="567"/>
      <c r="Q15" s="479">
        <v>22</v>
      </c>
    </row>
    <row s="2866" customFormat="1" customHeight="1" ht="22.049999999999997">
      <c r="A16" s="1211"/>
      <c r="B16" s="1216"/>
      <c r="C16" s="1211"/>
      <c r="D16" s="507"/>
      <c r="E16" s="236"/>
      <c r="F16" s="236"/>
      <c r="G16" s="236"/>
      <c r="H16" s="236"/>
      <c r="I16" s="236"/>
      <c r="J16" s="236"/>
      <c r="K16" s="236"/>
      <c r="L16" s="236"/>
      <c r="M16" s="565"/>
      <c r="N16" s="1691"/>
      <c r="O16" s="556"/>
      <c r="P16" s="556"/>
      <c r="Q16" s="563">
        <v>21</v>
      </c>
    </row>
    <row s="2866" customFormat="1" customHeight="1" ht="14.699999999999998">
      <c r="A17" s="1211"/>
      <c r="B17" s="1216"/>
      <c r="C17" s="1211"/>
      <c r="D17" s="507"/>
      <c r="E17" s="1211"/>
      <c r="F17" s="1211"/>
      <c r="G17" s="1211"/>
      <c r="H17" s="1211"/>
      <c r="I17" s="1211"/>
      <c r="J17" s="1211"/>
      <c r="K17" s="1211"/>
      <c r="L17" s="1211"/>
      <c r="M17" s="1211"/>
      <c r="N17" s="1687"/>
      <c r="O17" s="556"/>
      <c r="P17" s="556"/>
      <c r="Q17" s="563">
        <v>14</v>
      </c>
    </row>
    <row s="2866" customFormat="1" customHeight="1" ht="1.05">
      <c r="A18" s="1211"/>
      <c r="B18" s="1216"/>
      <c r="C18" s="1211"/>
      <c r="D18" s="507"/>
      <c r="E18" s="1211"/>
      <c r="F18" s="1211"/>
      <c r="G18" s="1211"/>
      <c r="H18" s="1211"/>
      <c r="I18" s="1211"/>
      <c r="J18" s="1211"/>
      <c r="K18" s="1211"/>
      <c r="L18" s="1211"/>
      <c r="M18" s="1211"/>
      <c r="N18" s="1687"/>
      <c r="O18" s="556"/>
      <c r="P18" s="556"/>
      <c r="Q18" s="563">
        <v>1</v>
      </c>
    </row>
    <row customHeight="1" ht="22.5" hidden="1">
      <c r="A19" s="1211" t="s">
        <v>86</v>
      </c>
      <c r="B19" s="1216">
        <v>0</v>
      </c>
      <c r="C19" s="1211">
        <v>0</v>
      </c>
      <c r="D19" s="507">
        <v>3</v>
      </c>
      <c r="E19" s="1211">
        <v>6</v>
      </c>
      <c r="F19" s="1211">
        <v>27</v>
      </c>
      <c r="G19" s="1211">
        <v>29</v>
      </c>
      <c r="H19" s="1211">
        <v>25</v>
      </c>
      <c r="I19" s="1211">
        <v>5</v>
      </c>
      <c r="J19" s="1211">
        <v>6</v>
      </c>
      <c r="K19" s="1211">
        <v>41</v>
      </c>
      <c r="L19" s="1211">
        <v>42</v>
      </c>
      <c r="M19" s="1211">
        <v>41</v>
      </c>
      <c r="N19" s="1687">
        <v>89</v>
      </c>
      <c r="O19" s="556">
        <v>3</v>
      </c>
      <c r="P19" s="556">
        <v>8</v>
      </c>
      <c r="Q19" s="1211">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D61FBD-C5BA-DEAF-E0CF-897C550D9723}" mc:Ignorable="x14ac xr xr2 xr3">
  <sheetPr>
    <tabColor rgb="FFEAEBEE"/>
    <pageSetUpPr fitToPage="1"/>
  </sheetPr>
  <dimension ref="A1:M16"/>
  <sheetViews>
    <sheetView topLeftCell="A1" showGridLines="0" zoomScale="90" workbookViewId="0">
      <selection activeCell="A1" sqref="A1"/>
    </sheetView>
  </sheetViews>
  <sheetFormatPr defaultColWidth="9.140625" customHeight="1" defaultRowHeight="14.25"/>
  <cols>
    <col min="1" max="1" style="3315" width="9.140625" hidden="1"/>
    <col min="2" max="2" style="12959" width="9.140625" hidden="1"/>
    <col min="3" max="3" style="13218" width="3.00390625" customWidth="1"/>
    <col min="4" max="4" style="12959" width="6.00390625" customWidth="1"/>
    <col min="5" max="5" style="12959" width="22.00390625" customWidth="1"/>
    <col min="6" max="6" style="12959" width="15.00390625" customWidth="1"/>
    <col min="7" max="7" style="12959" width="14.00390625" customWidth="1"/>
    <col min="8" max="8" style="12959" width="47.00390625" customWidth="1"/>
    <col min="9" max="9" style="12959" width="115.00390625" customWidth="1"/>
    <col min="10" max="10" style="12959" width="3.00390625" customWidth="1"/>
    <col min="11" max="12" style="12959" width="8.00390625" customWidth="1"/>
    <col min="13" max="13" style="12959" width="9.140625" hidden="1"/>
  </cols>
  <sheetData>
    <row customHeight="1" ht="14.25" hidden="1">
      <c r="M1" s="177" t="s">
        <v>14</v>
      </c>
    </row>
    <row customHeight="1" ht="14.25" hidden="1">
      <c r="M2" s="177">
        <v>0</v>
      </c>
    </row>
    <row customHeight="1" ht="14.25" hidden="1">
      <c r="M3" s="177">
        <v>0</v>
      </c>
    </row>
    <row customHeight="1" ht="3">
      <c r="M4" s="177">
        <v>3</v>
      </c>
    </row>
    <row s="2774" customFormat="1" customHeight="1" ht="31.5">
      <c r="A5" s="171"/>
      <c r="C5" s="146"/>
      <c r="D5" s="2156" t="s">
        <v>2023</v>
      </c>
      <c r="E5" s="2156"/>
      <c r="F5" s="2156"/>
      <c r="G5" s="2156"/>
      <c r="H5" s="2156"/>
      <c r="I5" s="321"/>
      <c r="M5" s="139">
        <v>30</v>
      </c>
    </row>
    <row customHeight="1" ht="3" hidden="1">
      <c r="D6" s="178"/>
      <c r="E6" s="178"/>
      <c r="F6" s="178"/>
      <c r="G6" s="178"/>
      <c r="H6" s="178"/>
      <c r="I6" s="178"/>
      <c r="M6" s="177">
        <v>0</v>
      </c>
    </row>
    <row s="3315" customFormat="1" customHeight="1" ht="14.699999999999998">
      <c r="B7" s="175"/>
      <c r="C7" s="176"/>
      <c r="D7" s="179"/>
      <c r="E7" s="179"/>
      <c r="F7" s="179"/>
      <c r="G7" s="179"/>
      <c r="H7" s="808"/>
      <c r="I7" s="179"/>
      <c r="J7" s="180"/>
      <c r="M7" s="174">
        <v>14</v>
      </c>
    </row>
    <row customHeight="1" ht="14.699999999999998">
      <c r="D8" s="2265" t="s">
        <v>432</v>
      </c>
      <c r="E8" s="2265"/>
      <c r="F8" s="2265"/>
      <c r="G8" s="2265"/>
      <c r="H8" s="2265"/>
      <c r="I8" s="2265" t="s">
        <v>433</v>
      </c>
      <c r="M8" s="177">
        <v>14</v>
      </c>
    </row>
    <row customHeight="1" ht="29.25">
      <c r="D9" s="2265" t="s">
        <v>92</v>
      </c>
      <c r="E9" s="2265" t="s">
        <v>2024</v>
      </c>
      <c r="F9" s="2265"/>
      <c r="G9" s="2265"/>
      <c r="H9" s="2265"/>
      <c r="I9" s="2265"/>
      <c r="M9" s="177">
        <v>28</v>
      </c>
    </row>
    <row customHeight="1" ht="24">
      <c r="D10" s="2265"/>
      <c r="E10" s="183" t="s">
        <v>2025</v>
      </c>
      <c r="F10" s="183" t="s">
        <v>2026</v>
      </c>
      <c r="G10" s="183" t="s">
        <v>2027</v>
      </c>
      <c r="H10" s="183" t="s">
        <v>522</v>
      </c>
      <c r="I10" s="2265"/>
      <c r="M10" s="177">
        <v>23</v>
      </c>
    </row>
    <row customHeight="1" ht="12" hidden="1">
      <c r="D11" s="143" t="s">
        <v>191</v>
      </c>
      <c r="E11" s="143" t="s">
        <v>95</v>
      </c>
      <c r="F11" s="143" t="s">
        <v>122</v>
      </c>
      <c r="G11" s="143" t="s">
        <v>96</v>
      </c>
      <c r="H11" s="143" t="s">
        <v>97</v>
      </c>
      <c r="I11" s="143" t="s">
        <v>135</v>
      </c>
      <c r="M11" s="177">
        <v>0</v>
      </c>
    </row>
    <row s="12959" customFormat="1" customHeight="1" ht="26.25">
      <c r="A12" s="201" t="s">
        <v>94</v>
      </c>
      <c r="B12" s="181" t="s">
        <v>28</v>
      </c>
      <c r="C12" s="182"/>
      <c r="D12" s="184" t="s">
        <v>191</v>
      </c>
      <c r="E12" s="437"/>
      <c r="F12" s="437"/>
      <c r="G12" s="1790" t="s">
        <v>28</v>
      </c>
      <c r="H12" s="438"/>
      <c r="I12" s="2225" t="s">
        <v>2028</v>
      </c>
      <c r="K12" s="328"/>
      <c r="L12" s="329"/>
      <c r="M12" s="173">
        <v>25</v>
      </c>
    </row>
    <row customHeight="1" ht="15.75">
      <c r="A13" s="177"/>
      <c r="B13" s="177"/>
      <c r="C13" s="177"/>
      <c r="D13" s="165"/>
      <c r="E13" s="186" t="s">
        <v>597</v>
      </c>
      <c r="F13" s="185"/>
      <c r="G13" s="185"/>
      <c r="H13" s="270"/>
      <c r="I13" s="2227"/>
      <c r="M13" s="177">
        <v>15</v>
      </c>
    </row>
    <row customHeight="1" ht="3">
      <c r="A14" s="177"/>
      <c r="B14" s="177"/>
      <c r="C14" s="177"/>
      <c r="M14" s="177">
        <v>3</v>
      </c>
    </row>
    <row customHeight="1" ht="29.25">
      <c r="E15" s="2552" t="s">
        <v>2029</v>
      </c>
      <c r="F15" s="2552"/>
      <c r="G15" s="2552"/>
      <c r="H15" s="2552"/>
      <c r="M15" s="177">
        <v>28</v>
      </c>
    </row>
    <row customHeight="1" ht="14.25" hidden="1">
      <c r="A16" s="174" t="s">
        <v>86</v>
      </c>
      <c r="B16" s="175">
        <v>0</v>
      </c>
      <c r="C16" s="176">
        <v>3</v>
      </c>
      <c r="D16" s="177">
        <v>6</v>
      </c>
      <c r="E16" s="177">
        <v>22</v>
      </c>
      <c r="F16" s="177">
        <v>15</v>
      </c>
      <c r="G16" s="177">
        <v>14</v>
      </c>
      <c r="H16" s="177">
        <v>47</v>
      </c>
      <c r="I16" s="177">
        <v>115</v>
      </c>
      <c r="J16" s="177">
        <v>3</v>
      </c>
      <c r="K16" s="177">
        <v>8</v>
      </c>
      <c r="L16" s="177">
        <v>8</v>
      </c>
      <c r="M16" s="177">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1D1148-5D49-159A-4FDA-375E567523C5}" mc:Ignorable="x14ac xr xr2 xr3">
  <sheetPr>
    <tabColor rgb="FFCCCCFF"/>
    <pageSetUpPr fitToPage="1"/>
  </sheetPr>
  <dimension ref="A1:J16"/>
  <sheetViews>
    <sheetView topLeftCell="A1" showGridLines="0" zoomScale="90" workbookViewId="0">
      <selection activeCell="E12" sqref="E12"/>
    </sheetView>
  </sheetViews>
  <sheetFormatPr defaultColWidth="9.140625" customHeight="1" defaultRowHeight="14.25"/>
  <cols>
    <col min="1" max="2" style="13252" width="9.140625" hidden="1"/>
    <col min="3" max="3" style="13251" width="3.00390625" customWidth="1"/>
    <col min="4" max="4" style="13252" width="6.00390625" customWidth="1"/>
    <col min="5" max="5" style="13252" width="94.00390625" customWidth="1"/>
    <col min="6" max="9" style="13252" width="8.00390625" customWidth="1"/>
    <col min="10" max="10" style="13252" width="9.140625" hidden="1"/>
  </cols>
  <sheetData>
    <row customHeight="1" ht="14.25" hidden="1">
      <c r="J1" s="125" t="s">
        <v>14</v>
      </c>
    </row>
    <row customHeight="1" ht="14.25" hidden="1">
      <c r="J2" s="125">
        <v>0</v>
      </c>
    </row>
    <row customHeight="1" ht="14.25" hidden="1">
      <c r="J3" s="125">
        <v>0</v>
      </c>
    </row>
    <row customHeight="1" ht="14.25" hidden="1">
      <c r="J4" s="125">
        <v>0</v>
      </c>
    </row>
    <row customHeight="1" ht="14.25" hidden="1">
      <c r="J5" s="125">
        <v>0</v>
      </c>
    </row>
    <row customHeight="1" ht="3">
      <c r="C6" s="148"/>
      <c r="D6" s="126"/>
      <c r="E6" s="126"/>
      <c r="J6" s="125">
        <v>3</v>
      </c>
    </row>
    <row customHeight="1" ht="23.25">
      <c r="C7" s="148"/>
      <c r="D7" s="2553" t="s">
        <v>2030</v>
      </c>
      <c r="E7" s="2554"/>
      <c r="F7" s="323"/>
      <c r="J7" s="125">
        <v>22</v>
      </c>
    </row>
    <row customHeight="1" ht="3">
      <c r="C8" s="148"/>
      <c r="D8" s="126"/>
      <c r="E8" s="126"/>
      <c r="J8" s="125">
        <v>3</v>
      </c>
    </row>
    <row customHeight="1" ht="16.8">
      <c r="C9" s="148"/>
      <c r="D9" s="161" t="s">
        <v>92</v>
      </c>
      <c r="E9" s="316" t="s">
        <v>2031</v>
      </c>
      <c r="J9" s="125">
        <v>16</v>
      </c>
    </row>
    <row customHeight="1" ht="1.05">
      <c r="C10" s="148"/>
      <c r="D10" s="143"/>
      <c r="E10" s="143"/>
      <c r="J10" s="125">
        <v>1</v>
      </c>
    </row>
    <row customHeight="1" ht="11.25" hidden="1">
      <c r="C11" s="148"/>
      <c r="D11" s="206">
        <v>0</v>
      </c>
      <c r="E11" s="317"/>
      <c r="J11" s="125">
        <v>0</v>
      </c>
    </row>
    <row customHeight="1" ht="15.75">
      <c r="C12" s="192"/>
      <c r="D12" s="169">
        <v>1</v>
      </c>
      <c r="E12" s="433" t="s">
        <v>2032</v>
      </c>
      <c r="J12" s="125">
        <v>15</v>
      </c>
    </row>
    <row customHeight="1" ht="12.75">
      <c r="C13" s="148"/>
      <c r="D13" s="318"/>
      <c r="E13" s="319" t="s">
        <v>2033</v>
      </c>
      <c r="J13" s="125">
        <v>12</v>
      </c>
    </row>
    <row customHeight="1" ht="3">
      <c r="J14" s="125">
        <v>3</v>
      </c>
    </row>
    <row customHeight="1" ht="23.25">
      <c r="C15" s="193"/>
      <c r="D15" s="2555" t="s">
        <v>2034</v>
      </c>
      <c r="E15" s="2555"/>
      <c r="F15" s="194"/>
      <c r="G15" s="194"/>
      <c r="H15" s="194"/>
      <c r="I15" s="194"/>
      <c r="J15" s="125">
        <v>22</v>
      </c>
    </row>
    <row customHeight="1" ht="14.25" hidden="1">
      <c r="A16" s="125" t="s">
        <v>86</v>
      </c>
      <c r="B16" s="125">
        <v>0</v>
      </c>
      <c r="C16" s="147">
        <v>3</v>
      </c>
      <c r="D16" s="125">
        <v>6</v>
      </c>
      <c r="E16" s="125">
        <v>94</v>
      </c>
      <c r="F16" s="125">
        <v>8</v>
      </c>
      <c r="G16" s="125">
        <v>8</v>
      </c>
      <c r="H16" s="125">
        <v>8</v>
      </c>
      <c r="I16" s="125">
        <v>8</v>
      </c>
      <c r="J16" s="125">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DC164C-E89A-BD5F-AFB2-69E8B90396F4}" mc:Ignorable="x14ac xr xr2 xr3">
  <sheetPr>
    <tabColor rgb="FFCCCCFF"/>
    <pageSetUpPr fitToPage="1"/>
  </sheetPr>
  <dimension ref="A1:M13"/>
  <sheetViews>
    <sheetView topLeftCell="A1" showGridLines="0" zoomScale="90" workbookViewId="0">
      <selection activeCell="A1" sqref="A1"/>
    </sheetView>
  </sheetViews>
  <sheetFormatPr defaultColWidth="9.140625" customHeight="1" defaultRowHeight="14.25"/>
  <cols>
    <col min="1" max="2" style="13252" width="9.140625" hidden="1"/>
    <col min="3" max="3" style="13251" width="3.00390625" customWidth="1"/>
    <col min="4" max="4" style="13252" width="6.00390625" customWidth="1"/>
    <col min="5" max="5" style="13252" width="94.00390625" customWidth="1"/>
    <col min="6" max="12" style="13252" width="8.00390625" customWidth="1"/>
    <col min="13" max="13" style="13252" width="9.140625" hidden="1"/>
  </cols>
  <sheetData>
    <row customHeight="1" ht="14.25" hidden="1">
      <c r="L1" s="320"/>
      <c r="M1" s="125" t="s">
        <v>14</v>
      </c>
    </row>
    <row customHeight="1" ht="14.25" hidden="1">
      <c r="M2" s="125">
        <v>0</v>
      </c>
    </row>
    <row customHeight="1" ht="14.25" hidden="1">
      <c r="M3" s="125">
        <v>0</v>
      </c>
    </row>
    <row customHeight="1" ht="14.25" hidden="1">
      <c r="M4" s="125">
        <v>0</v>
      </c>
    </row>
    <row customHeight="1" ht="14.25" hidden="1">
      <c r="M5" s="125">
        <v>0</v>
      </c>
    </row>
    <row customHeight="1" ht="3">
      <c r="C6" s="148"/>
      <c r="D6" s="126"/>
      <c r="E6" s="126"/>
      <c r="M6" s="125">
        <v>3</v>
      </c>
    </row>
    <row customHeight="1" ht="23.25">
      <c r="C7" s="148"/>
      <c r="D7" s="2156" t="s">
        <v>2035</v>
      </c>
      <c r="E7" s="2156"/>
      <c r="F7" s="323"/>
      <c r="M7" s="125">
        <v>22</v>
      </c>
    </row>
    <row customHeight="1" ht="3">
      <c r="C8" s="148"/>
      <c r="D8" s="126"/>
      <c r="E8" s="126"/>
      <c r="M8" s="125">
        <v>3</v>
      </c>
    </row>
    <row customHeight="1" ht="16.8">
      <c r="C9" s="148"/>
      <c r="D9" s="161" t="s">
        <v>92</v>
      </c>
      <c r="E9" s="164" t="s">
        <v>419</v>
      </c>
      <c r="M9" s="125">
        <v>16</v>
      </c>
    </row>
    <row customHeight="1" ht="12.75">
      <c r="C10" s="148"/>
      <c r="D10" s="143" t="s">
        <v>191</v>
      </c>
      <c r="E10" s="143" t="s">
        <v>108</v>
      </c>
      <c r="M10" s="125">
        <v>12</v>
      </c>
    </row>
    <row customHeight="1" ht="15" hidden="1">
      <c r="C11" s="148"/>
      <c r="D11" s="169">
        <v>0</v>
      </c>
      <c r="E11" s="205"/>
      <c r="M11" s="125">
        <v>0</v>
      </c>
    </row>
    <row customHeight="1" ht="14.699999999999998">
      <c r="C12" s="148"/>
      <c r="D12" s="165"/>
      <c r="E12" s="163" t="s">
        <v>2033</v>
      </c>
      <c r="M12" s="125">
        <v>14</v>
      </c>
    </row>
    <row customHeight="1" ht="14.25" hidden="1">
      <c r="A13" s="125" t="s">
        <v>86</v>
      </c>
      <c r="B13" s="125">
        <v>0</v>
      </c>
      <c r="C13" s="147">
        <v>3</v>
      </c>
      <c r="D13" s="125">
        <v>6</v>
      </c>
      <c r="E13" s="125">
        <v>94</v>
      </c>
      <c r="F13" s="125">
        <v>8</v>
      </c>
      <c r="G13" s="125">
        <v>8</v>
      </c>
      <c r="H13" s="125">
        <v>8</v>
      </c>
      <c r="I13" s="125">
        <v>8</v>
      </c>
      <c r="J13" s="125">
        <v>8</v>
      </c>
      <c r="K13" s="125">
        <v>8</v>
      </c>
      <c r="L13" s="125">
        <v>8</v>
      </c>
      <c r="M13" s="125">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B9D835-3991-67D7-B7D4-8DE6A6313C96}" mc:Ignorable="x14ac xr xr2 xr3">
  <sheetPr>
    <tabColor rgb="FFCCCCFF"/>
  </sheetPr>
  <dimension ref="A1:BM50"/>
  <sheetViews>
    <sheetView topLeftCell="A1" showGridLines="0" zoomScale="90" workbookViewId="0">
      <selection activeCell="A1" sqref="A1"/>
    </sheetView>
  </sheetViews>
  <sheetFormatPr defaultColWidth="9.140625" customHeight="1" defaultRowHeight="11.25"/>
  <cols>
    <col min="1" max="2" style="2911" width="9.140625" hidden="1"/>
    <col min="3" max="4" style="2911" width="3.00390625" customWidth="1"/>
    <col min="5" max="6" style="2911" width="15.00390625" customWidth="1"/>
    <col min="7" max="7" style="2911" width="11.57421875" customWidth="1"/>
    <col min="8" max="9" style="2911" width="3.00390625" customWidth="1"/>
    <col min="10" max="10" style="2911" width="12.00390625" customWidth="1"/>
    <col min="11" max="11" style="2911" width="0.28125" customWidth="1"/>
    <col min="12" max="13" style="2911" width="10.00390625" customWidth="1"/>
    <col min="14" max="15" style="2911" width="3.00390625" customWidth="1"/>
    <col min="16" max="16" style="2911" width="19.00390625" customWidth="1"/>
    <col min="17" max="17" style="2911" width="0.28125" customWidth="1"/>
    <col min="18" max="19" style="2911" width="10.00390625" customWidth="1"/>
    <col min="20" max="21" style="2911" width="3.00390625" customWidth="1"/>
    <col min="22" max="22" style="2911" width="25.00390625" customWidth="1"/>
    <col min="23" max="23" style="2911" width="0.28125" customWidth="1"/>
    <col min="24" max="25" style="2911" width="10.00390625" customWidth="1"/>
    <col min="26" max="27" style="2911" width="3.00390625" customWidth="1"/>
    <col min="28" max="28" style="2911" width="16.00390625" customWidth="1"/>
    <col min="29" max="29" style="2911" width="0.28125" customWidth="1"/>
    <col min="30" max="31" style="2911" width="10.00390625" customWidth="1"/>
    <col min="32" max="33" style="2911" width="3.00390625" customWidth="1"/>
    <col min="34" max="34" style="2911" width="8.00390625" customWidth="1"/>
    <col min="35" max="35" style="2911" width="21.00390625" customWidth="1"/>
    <col min="36" max="36" style="2911" width="8.00390625" customWidth="1"/>
    <col min="37" max="37" style="3315" width="8.00390625" customWidth="1"/>
    <col min="38" max="64" style="2911" width="8.00390625" customWidth="1"/>
    <col min="65" max="65" style="2911" width="9.140625" hidden="1"/>
  </cols>
  <sheetData>
    <row s="3244" customFormat="1" customHeight="1" ht="11.25" hidden="1">
      <c r="AJ1" s="478"/>
      <c r="AK1" s="478"/>
      <c r="AL1" s="478"/>
      <c r="AM1" s="478"/>
      <c r="AN1" s="478"/>
      <c r="AO1" s="478"/>
      <c r="AP1" s="478"/>
      <c r="AQ1" s="478"/>
      <c r="AR1" s="478"/>
      <c r="AS1" s="478"/>
      <c r="AT1" s="478"/>
      <c r="AU1" s="478"/>
      <c r="AV1" s="478"/>
      <c r="AW1" s="478"/>
      <c r="AX1" s="478"/>
      <c r="AY1" s="478"/>
      <c r="AZ1" s="478"/>
      <c r="BA1" s="478"/>
      <c r="BB1" s="478"/>
      <c r="BC1" s="478"/>
      <c r="BD1" s="478"/>
      <c r="BE1" s="478"/>
      <c r="BF1" s="478"/>
      <c r="BG1" s="478"/>
      <c r="BH1" s="478"/>
      <c r="BI1" s="478"/>
      <c r="BJ1" s="478"/>
      <c r="BK1" s="478"/>
      <c r="BL1" s="478"/>
      <c r="BM1" s="475" t="s">
        <v>14</v>
      </c>
    </row>
    <row s="3245" customFormat="1" customHeight="1" ht="11.25" hidden="1">
      <c r="L2" s="1609" t="s">
        <v>411</v>
      </c>
      <c r="M2" s="1609" t="s">
        <v>412</v>
      </c>
      <c r="R2" s="1609" t="s">
        <v>413</v>
      </c>
      <c r="S2" s="1609" t="s">
        <v>412</v>
      </c>
      <c r="X2" s="1609" t="s">
        <v>411</v>
      </c>
      <c r="Y2" s="1609" t="s">
        <v>412</v>
      </c>
      <c r="AD2" s="1609" t="s">
        <v>411</v>
      </c>
      <c r="AE2" s="1609" t="s">
        <v>412</v>
      </c>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09">
        <v>0</v>
      </c>
    </row>
    <row s="3247" customFormat="1" customHeight="1" ht="11.549999999999999">
      <c r="AJ3" s="1630"/>
      <c r="AK3" s="362"/>
      <c r="AL3" s="1630"/>
      <c r="AM3" s="1630"/>
      <c r="AN3" s="1630"/>
      <c r="AO3" s="1630"/>
      <c r="AP3" s="1630"/>
      <c r="AQ3" s="1630"/>
      <c r="AR3" s="1630"/>
      <c r="AS3" s="1630"/>
      <c r="AT3" s="1630"/>
      <c r="AU3" s="1630"/>
      <c r="AV3" s="1630"/>
      <c r="AW3" s="1630"/>
      <c r="AX3" s="1630"/>
      <c r="AY3" s="1630"/>
      <c r="AZ3" s="1630"/>
      <c r="BA3" s="1630"/>
      <c r="BB3" s="1630"/>
      <c r="BC3" s="1630"/>
      <c r="BD3" s="1630"/>
      <c r="BE3" s="1630"/>
      <c r="BF3" s="1630"/>
      <c r="BG3" s="1630"/>
      <c r="BH3" s="1630"/>
      <c r="BI3" s="1630"/>
      <c r="BJ3" s="1630"/>
      <c r="BK3" s="1630"/>
      <c r="BL3" s="1630"/>
      <c r="BM3" s="1610">
        <v>11</v>
      </c>
    </row>
    <row s="2866" customFormat="1" customHeight="1" ht="34.5">
      <c r="A4" s="1212"/>
      <c r="B4" s="1211"/>
      <c r="C4" s="1571"/>
      <c r="D4" s="2247" t="s">
        <v>414</v>
      </c>
      <c r="E4" s="2247"/>
      <c r="F4" s="2247"/>
      <c r="G4" s="2247"/>
      <c r="H4" s="2247"/>
      <c r="I4" s="2247"/>
      <c r="J4" s="2247"/>
      <c r="K4" s="755"/>
      <c r="T4" s="1611"/>
      <c r="AJ4" s="1632"/>
      <c r="AK4" s="1633"/>
      <c r="AL4" s="1632"/>
      <c r="AM4" s="1632"/>
      <c r="AN4" s="1632"/>
      <c r="AO4" s="1632"/>
      <c r="AP4" s="1632"/>
      <c r="AQ4" s="1632"/>
      <c r="AR4" s="1632"/>
      <c r="AS4" s="1632"/>
      <c r="AT4" s="1632"/>
      <c r="AU4" s="1632"/>
      <c r="AV4" s="1632"/>
      <c r="AW4" s="1632"/>
      <c r="AX4" s="1632"/>
      <c r="AY4" s="1632"/>
      <c r="AZ4" s="1632"/>
      <c r="BA4" s="1632"/>
      <c r="BB4" s="1632"/>
      <c r="BC4" s="1632"/>
      <c r="BD4" s="1632"/>
      <c r="BE4" s="1632"/>
      <c r="BF4" s="1632"/>
      <c r="BG4" s="1632"/>
      <c r="BH4" s="1632"/>
      <c r="BI4" s="1632"/>
      <c r="BJ4" s="1632"/>
      <c r="BK4" s="1632"/>
      <c r="BL4" s="1632"/>
      <c r="BM4" s="563">
        <v>33</v>
      </c>
    </row>
    <row s="2866" customFormat="1" customHeight="1" ht="14.699999999999998">
      <c r="A5" s="1688"/>
      <c r="B5" s="1687"/>
      <c r="C5" s="1571"/>
      <c r="D5" s="2232" t="str">
        <f>IF(org=0,"Не определено",org)</f>
        <v>МУП ЖКХ "Родник"</v>
      </c>
      <c r="E5" s="2232"/>
      <c r="F5" s="2232"/>
      <c r="G5" s="2232"/>
      <c r="H5" s="2232"/>
      <c r="I5" s="2232"/>
      <c r="J5" s="2232"/>
      <c r="K5" s="755"/>
      <c r="T5" s="1611"/>
      <c r="AJ5" s="1632"/>
      <c r="AK5" s="1633"/>
      <c r="AL5" s="1632"/>
      <c r="AM5" s="1632"/>
      <c r="AN5" s="1632"/>
      <c r="AO5" s="1632"/>
      <c r="AP5" s="1632"/>
      <c r="AQ5" s="1632"/>
      <c r="AR5" s="1632"/>
      <c r="AS5" s="1632"/>
      <c r="AT5" s="1632"/>
      <c r="AU5" s="1632"/>
      <c r="AV5" s="1632"/>
      <c r="AW5" s="1632"/>
      <c r="AX5" s="1632"/>
      <c r="AY5" s="1632"/>
      <c r="AZ5" s="1632"/>
      <c r="BA5" s="1632"/>
      <c r="BB5" s="1632"/>
      <c r="BC5" s="1632"/>
      <c r="BD5" s="1632"/>
      <c r="BE5" s="1632"/>
      <c r="BF5" s="1632"/>
      <c r="BG5" s="1632"/>
      <c r="BH5" s="1632"/>
      <c r="BI5" s="1632"/>
      <c r="BJ5" s="1632"/>
      <c r="BK5" s="1632"/>
      <c r="BL5" s="1632"/>
      <c r="BM5" s="1665">
        <v>14</v>
      </c>
    </row>
    <row s="2866" customFormat="1" customHeight="1" ht="14.699999999999998">
      <c r="A6" s="1212"/>
      <c r="B6" s="1211"/>
      <c r="C6" s="1571"/>
      <c r="D6" s="755"/>
      <c r="E6" s="755"/>
      <c r="F6" s="755"/>
      <c r="G6" s="755"/>
      <c r="H6" s="755"/>
      <c r="I6" s="755"/>
      <c r="J6" s="755"/>
      <c r="K6" s="755"/>
      <c r="T6" s="1611"/>
      <c r="AJ6" s="1632"/>
      <c r="AK6" s="1633"/>
      <c r="AL6" s="1632"/>
      <c r="AM6" s="1632"/>
      <c r="AN6" s="1632"/>
      <c r="AO6" s="1632"/>
      <c r="AP6" s="1632"/>
      <c r="AQ6" s="1632"/>
      <c r="AR6" s="1632"/>
      <c r="AS6" s="1632"/>
      <c r="AT6" s="1632"/>
      <c r="AU6" s="1632"/>
      <c r="AV6" s="1632"/>
      <c r="AW6" s="1632"/>
      <c r="AX6" s="1632"/>
      <c r="AY6" s="1632"/>
      <c r="AZ6" s="1632"/>
      <c r="BA6" s="1632"/>
      <c r="BB6" s="1632"/>
      <c r="BC6" s="1632"/>
      <c r="BD6" s="1632"/>
      <c r="BE6" s="1632"/>
      <c r="BF6" s="1632"/>
      <c r="BG6" s="1632"/>
      <c r="BH6" s="1632"/>
      <c r="BI6" s="1632"/>
      <c r="BJ6" s="1632"/>
      <c r="BK6" s="1632"/>
      <c r="BL6" s="1632"/>
      <c r="BM6" s="563">
        <v>14</v>
      </c>
    </row>
    <row s="3244" customFormat="1" customHeight="1" ht="1.05">
      <c r="AJ7" s="478"/>
      <c r="AK7" s="478"/>
      <c r="AL7" s="478"/>
      <c r="AM7" s="478"/>
      <c r="AN7" s="478"/>
      <c r="AO7" s="478"/>
      <c r="AP7" s="478"/>
      <c r="AQ7" s="478"/>
      <c r="AR7" s="478"/>
      <c r="AS7" s="478"/>
      <c r="AT7" s="478"/>
      <c r="AU7" s="478"/>
      <c r="AV7" s="478"/>
      <c r="AW7" s="478"/>
      <c r="AX7" s="478"/>
      <c r="AY7" s="478"/>
      <c r="AZ7" s="478"/>
      <c r="BA7" s="478"/>
      <c r="BB7" s="478"/>
      <c r="BC7" s="478"/>
      <c r="BD7" s="478"/>
      <c r="BE7" s="478"/>
      <c r="BF7" s="478"/>
      <c r="BG7" s="478"/>
      <c r="BH7" s="478"/>
      <c r="BI7" s="478"/>
      <c r="BJ7" s="478"/>
      <c r="BK7" s="478"/>
      <c r="BL7" s="478"/>
      <c r="BM7" s="475">
        <v>1</v>
      </c>
    </row>
    <row customHeight="1" ht="33.75">
      <c r="D8" s="2183" t="s">
        <v>92</v>
      </c>
      <c r="E8" s="2183" t="s">
        <v>187</v>
      </c>
      <c r="F8" s="2248" t="s">
        <v>201</v>
      </c>
      <c r="G8" s="2249"/>
      <c r="H8" s="2248" t="s">
        <v>92</v>
      </c>
      <c r="I8" s="2249"/>
      <c r="J8" s="2183" t="s">
        <v>202</v>
      </c>
      <c r="K8" s="1612"/>
      <c r="L8" s="2252" t="s">
        <v>415</v>
      </c>
      <c r="M8" s="2252"/>
      <c r="N8" s="2252"/>
      <c r="O8" s="2252"/>
      <c r="P8" s="2252"/>
      <c r="Q8" s="1613"/>
      <c r="R8" s="2152" t="s">
        <v>416</v>
      </c>
      <c r="S8" s="2253"/>
      <c r="T8" s="2253"/>
      <c r="U8" s="2253"/>
      <c r="V8" s="2253"/>
      <c r="W8" s="1613"/>
      <c r="X8" s="2254" t="s">
        <v>417</v>
      </c>
      <c r="Y8" s="2254"/>
      <c r="Z8" s="2254"/>
      <c r="AA8" s="2254"/>
      <c r="AB8" s="2254"/>
      <c r="AC8" s="1614"/>
      <c r="AD8" s="2183" t="s">
        <v>418</v>
      </c>
      <c r="AE8" s="2183"/>
      <c r="AF8" s="2183"/>
      <c r="AG8" s="2183"/>
      <c r="AH8" s="2157"/>
      <c r="AI8" s="2183" t="s">
        <v>419</v>
      </c>
      <c r="AJ8" s="1630"/>
      <c r="BM8" s="349">
        <v>32</v>
      </c>
    </row>
    <row customHeight="1" ht="23.25">
      <c r="D9" s="2183"/>
      <c r="E9" s="2183"/>
      <c r="F9" s="2231" t="s">
        <v>93</v>
      </c>
      <c r="G9" s="2231" t="s">
        <v>207</v>
      </c>
      <c r="H9" s="2250"/>
      <c r="I9" s="2251"/>
      <c r="J9" s="2157"/>
      <c r="K9" s="1615"/>
      <c r="L9" s="2183" t="s">
        <v>420</v>
      </c>
      <c r="M9" s="2157"/>
      <c r="N9" s="2248" t="s">
        <v>92</v>
      </c>
      <c r="O9" s="2249"/>
      <c r="P9" s="2183" t="s">
        <v>208</v>
      </c>
      <c r="Q9" s="1612"/>
      <c r="R9" s="2183" t="s">
        <v>420</v>
      </c>
      <c r="S9" s="2157"/>
      <c r="T9" s="2248" t="s">
        <v>92</v>
      </c>
      <c r="U9" s="2249"/>
      <c r="V9" s="2183" t="s">
        <v>208</v>
      </c>
      <c r="W9" s="1612"/>
      <c r="X9" s="2183" t="s">
        <v>420</v>
      </c>
      <c r="Y9" s="2157"/>
      <c r="Z9" s="2248" t="s">
        <v>92</v>
      </c>
      <c r="AA9" s="2249"/>
      <c r="AB9" s="2183" t="s">
        <v>421</v>
      </c>
      <c r="AC9" s="1612"/>
      <c r="AD9" s="2183" t="s">
        <v>420</v>
      </c>
      <c r="AE9" s="2157"/>
      <c r="AF9" s="2248" t="s">
        <v>92</v>
      </c>
      <c r="AG9" s="2249"/>
      <c r="AH9" s="2157" t="s">
        <v>421</v>
      </c>
      <c r="AI9" s="2183"/>
      <c r="AJ9" s="1630"/>
      <c r="BM9" s="349">
        <v>22</v>
      </c>
    </row>
    <row customHeight="1" ht="24">
      <c r="D10" s="2231"/>
      <c r="E10" s="2231"/>
      <c r="F10" s="2255"/>
      <c r="G10" s="2255"/>
      <c r="H10" s="2256"/>
      <c r="I10" s="2257"/>
      <c r="J10" s="2248"/>
      <c r="K10" s="1615"/>
      <c r="L10" s="1634" t="s">
        <v>422</v>
      </c>
      <c r="M10" s="1629" t="s">
        <v>423</v>
      </c>
      <c r="N10" s="2250"/>
      <c r="O10" s="2251"/>
      <c r="P10" s="2231"/>
      <c r="Q10" s="1612"/>
      <c r="R10" s="1634" t="s">
        <v>422</v>
      </c>
      <c r="S10" s="1629" t="s">
        <v>423</v>
      </c>
      <c r="T10" s="2250"/>
      <c r="U10" s="2251"/>
      <c r="V10" s="2231"/>
      <c r="W10" s="1612"/>
      <c r="X10" s="1634" t="s">
        <v>422</v>
      </c>
      <c r="Y10" s="1629" t="s">
        <v>423</v>
      </c>
      <c r="Z10" s="2250"/>
      <c r="AA10" s="2251"/>
      <c r="AB10" s="2231"/>
      <c r="AC10" s="1612"/>
      <c r="AD10" s="1634" t="s">
        <v>422</v>
      </c>
      <c r="AE10" s="1629" t="s">
        <v>423</v>
      </c>
      <c r="AF10" s="2250"/>
      <c r="AG10" s="2251"/>
      <c r="AH10" s="2248"/>
      <c r="AI10" s="2231"/>
      <c r="AJ10" s="1630"/>
      <c r="AK10" s="310" t="s">
        <v>424</v>
      </c>
      <c r="AL10" s="310" t="s">
        <v>209</v>
      </c>
      <c r="BM10" s="349">
        <v>23</v>
      </c>
    </row>
    <row customHeight="1" ht="15">
      <c r="D11" s="2239" t="s">
        <v>191</v>
      </c>
      <c r="E11" s="2235" t="s">
        <v>425</v>
      </c>
      <c r="F11" s="2235" t="s">
        <v>426</v>
      </c>
      <c r="G11" s="2241" t="s">
        <v>19</v>
      </c>
      <c r="H11" s="1655"/>
      <c r="I11" s="2237"/>
      <c r="J11" s="2208"/>
      <c r="K11" s="1570"/>
      <c r="L11" s="2193"/>
      <c r="M11" s="2193"/>
      <c r="N11" s="1640"/>
      <c r="O11" s="2193"/>
      <c r="P11" s="2208"/>
      <c r="Q11" s="1641"/>
      <c r="R11" s="2193"/>
      <c r="S11" s="2193"/>
      <c r="T11" s="1642"/>
      <c r="U11" s="2193"/>
      <c r="V11" s="2208"/>
      <c r="W11" s="1643"/>
      <c r="X11" s="2193"/>
      <c r="Y11" s="2193"/>
      <c r="Z11" s="1640"/>
      <c r="AA11" s="2193"/>
      <c r="AB11" s="2208"/>
      <c r="AC11" s="1644"/>
      <c r="AD11" s="2193"/>
      <c r="AE11" s="2193"/>
      <c r="AF11" s="1569"/>
      <c r="AG11" s="1569"/>
      <c r="AH11" s="1645"/>
      <c r="AI11" s="1352"/>
      <c r="AJ11" s="1630"/>
      <c r="BM11" s="349">
        <v>14</v>
      </c>
    </row>
    <row customHeight="1" ht="14.699999999999998">
      <c r="D12" s="2239"/>
      <c r="E12" s="2235"/>
      <c r="F12" s="2235"/>
      <c r="G12" s="2242"/>
      <c r="H12" s="1656"/>
      <c r="I12" s="2238"/>
      <c r="J12" s="2209"/>
      <c r="K12" s="1666"/>
      <c r="L12" s="2194"/>
      <c r="M12" s="2194"/>
      <c r="N12" s="1646"/>
      <c r="O12" s="2194"/>
      <c r="P12" s="2209"/>
      <c r="Q12" s="1647"/>
      <c r="R12" s="2194"/>
      <c r="S12" s="2194"/>
      <c r="T12" s="1648"/>
      <c r="U12" s="2194"/>
      <c r="V12" s="2209"/>
      <c r="W12" s="1649"/>
      <c r="X12" s="2194"/>
      <c r="Y12" s="2194"/>
      <c r="Z12" s="1646"/>
      <c r="AA12" s="2194"/>
      <c r="AB12" s="2209"/>
      <c r="AC12" s="1650"/>
      <c r="AD12" s="2194"/>
      <c r="AE12" s="2194"/>
      <c r="AF12" s="1651"/>
      <c r="AG12" s="1651"/>
      <c r="AH12" s="2233"/>
      <c r="AI12" s="2234"/>
      <c r="AJ12" s="1630"/>
      <c r="BM12" s="349">
        <v>14</v>
      </c>
    </row>
    <row customHeight="1" ht="14.699999999999998">
      <c r="D13" s="2239"/>
      <c r="E13" s="2235"/>
      <c r="F13" s="2235"/>
      <c r="G13" s="2242"/>
      <c r="H13" s="1656"/>
      <c r="I13" s="2238"/>
      <c r="J13" s="2209"/>
      <c r="K13" s="1666"/>
      <c r="L13" s="2194"/>
      <c r="M13" s="2194"/>
      <c r="N13" s="1646"/>
      <c r="O13" s="2194"/>
      <c r="P13" s="2209"/>
      <c r="Q13" s="1647"/>
      <c r="R13" s="2194"/>
      <c r="S13" s="2194"/>
      <c r="T13" s="1648"/>
      <c r="U13" s="2194"/>
      <c r="V13" s="2209"/>
      <c r="W13" s="1649"/>
      <c r="X13" s="2194"/>
      <c r="Y13" s="2194"/>
      <c r="Z13" s="1568"/>
      <c r="AA13" s="1651"/>
      <c r="AB13" s="2233"/>
      <c r="AC13" s="2233"/>
      <c r="AD13" s="2233"/>
      <c r="AE13" s="2233"/>
      <c r="AF13" s="2233"/>
      <c r="AG13" s="2233"/>
      <c r="AH13" s="2233"/>
      <c r="AI13" s="2234"/>
      <c r="AJ13" s="1630"/>
      <c r="BM13" s="349">
        <v>14</v>
      </c>
    </row>
    <row customHeight="1" ht="14.699999999999998">
      <c r="D14" s="2239"/>
      <c r="E14" s="2235"/>
      <c r="F14" s="2235"/>
      <c r="G14" s="2242"/>
      <c r="H14" s="1656"/>
      <c r="I14" s="2238"/>
      <c r="J14" s="2209"/>
      <c r="K14" s="1666"/>
      <c r="L14" s="2194"/>
      <c r="M14" s="2194"/>
      <c r="N14" s="1646"/>
      <c r="O14" s="2194"/>
      <c r="P14" s="2209"/>
      <c r="Q14" s="1647"/>
      <c r="R14" s="2194"/>
      <c r="S14" s="2194"/>
      <c r="T14" s="1652"/>
      <c r="U14" s="1653"/>
      <c r="V14" s="2233"/>
      <c r="W14" s="2233"/>
      <c r="X14" s="2233"/>
      <c r="Y14" s="2233"/>
      <c r="Z14" s="2233"/>
      <c r="AA14" s="2233"/>
      <c r="AB14" s="2233"/>
      <c r="AC14" s="2233"/>
      <c r="AD14" s="2233"/>
      <c r="AE14" s="2233"/>
      <c r="AF14" s="2233"/>
      <c r="AG14" s="2233"/>
      <c r="AH14" s="2233"/>
      <c r="AI14" s="2234"/>
      <c r="AJ14" s="1630"/>
      <c r="BM14" s="349">
        <v>14</v>
      </c>
    </row>
    <row customHeight="1" ht="11.549999999999999">
      <c r="D15" s="2239"/>
      <c r="E15" s="2235"/>
      <c r="F15" s="2235"/>
      <c r="G15" s="2242"/>
      <c r="H15" s="1657"/>
      <c r="I15" s="2238"/>
      <c r="J15" s="2209"/>
      <c r="K15" s="1666"/>
      <c r="L15" s="2194"/>
      <c r="M15" s="2194"/>
      <c r="N15" s="1651"/>
      <c r="O15" s="1651"/>
      <c r="P15" s="2233"/>
      <c r="Q15" s="2233"/>
      <c r="R15" s="2233"/>
      <c r="S15" s="2233"/>
      <c r="T15" s="2233"/>
      <c r="U15" s="2233"/>
      <c r="V15" s="2233"/>
      <c r="W15" s="2233"/>
      <c r="X15" s="2233"/>
      <c r="Y15" s="2233"/>
      <c r="Z15" s="2233"/>
      <c r="AA15" s="2233"/>
      <c r="AB15" s="2233"/>
      <c r="AC15" s="2233"/>
      <c r="AD15" s="2233"/>
      <c r="AE15" s="2233"/>
      <c r="AF15" s="2233"/>
      <c r="AG15" s="2233"/>
      <c r="AH15" s="2233"/>
      <c r="AI15" s="2234"/>
      <c r="AJ15" s="1630"/>
      <c r="BM15" s="349">
        <v>11</v>
      </c>
    </row>
    <row s="3247" customFormat="1" customHeight="1" ht="11.549999999999999">
      <c r="D16" s="2245"/>
      <c r="E16" s="2246"/>
      <c r="F16" s="2236"/>
      <c r="G16" s="2168"/>
      <c r="H16" s="1654"/>
      <c r="I16" s="1658"/>
      <c r="J16" s="2243"/>
      <c r="K16" s="2243"/>
      <c r="L16" s="2243"/>
      <c r="M16" s="2243"/>
      <c r="N16" s="2243"/>
      <c r="O16" s="2243"/>
      <c r="P16" s="2243"/>
      <c r="Q16" s="2243"/>
      <c r="R16" s="2243"/>
      <c r="S16" s="2243"/>
      <c r="T16" s="2243"/>
      <c r="U16" s="2243"/>
      <c r="V16" s="2243"/>
      <c r="W16" s="2243"/>
      <c r="X16" s="2243"/>
      <c r="Y16" s="2243"/>
      <c r="Z16" s="2243"/>
      <c r="AA16" s="2243"/>
      <c r="AB16" s="2243"/>
      <c r="AC16" s="2243"/>
      <c r="AD16" s="2243"/>
      <c r="AE16" s="2243"/>
      <c r="AF16" s="2243"/>
      <c r="AG16" s="2243"/>
      <c r="AH16" s="2243"/>
      <c r="AI16" s="2244"/>
      <c r="AJ16" s="1630"/>
      <c r="AK16" s="362"/>
      <c r="AL16" s="1630"/>
      <c r="AM16" s="1630"/>
      <c r="AN16" s="1630"/>
      <c r="AO16" s="1630"/>
      <c r="AP16" s="1630"/>
      <c r="AQ16" s="1630"/>
      <c r="AR16" s="1630"/>
      <c r="AS16" s="1630"/>
      <c r="AT16" s="1630"/>
      <c r="AU16" s="1630"/>
      <c r="AV16" s="1630"/>
      <c r="AW16" s="1630"/>
      <c r="AX16" s="1630"/>
      <c r="AY16" s="1630"/>
      <c r="AZ16" s="1630"/>
      <c r="BA16" s="1630"/>
      <c r="BB16" s="1630"/>
      <c r="BC16" s="1630"/>
      <c r="BD16" s="1630"/>
      <c r="BE16" s="1630"/>
      <c r="BF16" s="1630"/>
      <c r="BG16" s="1630"/>
      <c r="BH16" s="1630"/>
      <c r="BI16" s="1630"/>
      <c r="BJ16" s="1630"/>
      <c r="BK16" s="1630"/>
      <c r="BL16" s="1630"/>
      <c r="BM16" s="1610">
        <v>11</v>
      </c>
    </row>
    <row customHeight="1" ht="15">
      <c r="D17" s="2239" t="s">
        <v>108</v>
      </c>
      <c r="E17" s="2235" t="s">
        <v>425</v>
      </c>
      <c r="F17" s="2235" t="s">
        <v>427</v>
      </c>
      <c r="G17" s="2241" t="s">
        <v>19</v>
      </c>
      <c r="H17" s="1655"/>
      <c r="I17" s="2237"/>
      <c r="J17" s="2208"/>
      <c r="K17" s="1570"/>
      <c r="L17" s="2193"/>
      <c r="M17" s="2193"/>
      <c r="N17" s="1640"/>
      <c r="O17" s="2193"/>
      <c r="P17" s="2208"/>
      <c r="Q17" s="1641"/>
      <c r="R17" s="2193"/>
      <c r="S17" s="2193"/>
      <c r="T17" s="1642"/>
      <c r="U17" s="2193"/>
      <c r="V17" s="2208"/>
      <c r="W17" s="1643"/>
      <c r="X17" s="2193"/>
      <c r="Y17" s="2193"/>
      <c r="Z17" s="1640"/>
      <c r="AA17" s="2193"/>
      <c r="AB17" s="2208"/>
      <c r="AC17" s="1644"/>
      <c r="AD17" s="2193"/>
      <c r="AE17" s="2193"/>
      <c r="AF17" s="1569"/>
      <c r="AG17" s="1569"/>
      <c r="AH17" s="1645"/>
      <c r="AI17" s="1352"/>
      <c r="AJ17" s="1630"/>
      <c r="BM17" s="349">
        <v>14</v>
      </c>
    </row>
    <row customHeight="1" ht="14.699999999999998">
      <c r="D18" s="2239"/>
      <c r="E18" s="2235"/>
      <c r="F18" s="2235"/>
      <c r="G18" s="2242"/>
      <c r="H18" s="1656"/>
      <c r="I18" s="2238"/>
      <c r="J18" s="2209"/>
      <c r="K18" s="1639"/>
      <c r="L18" s="2194"/>
      <c r="M18" s="2194"/>
      <c r="N18" s="1646"/>
      <c r="O18" s="2194"/>
      <c r="P18" s="2209"/>
      <c r="Q18" s="1647"/>
      <c r="R18" s="2194"/>
      <c r="S18" s="2194"/>
      <c r="T18" s="1648"/>
      <c r="U18" s="2194"/>
      <c r="V18" s="2209"/>
      <c r="W18" s="1649"/>
      <c r="X18" s="2194"/>
      <c r="Y18" s="2194"/>
      <c r="Z18" s="1646"/>
      <c r="AA18" s="2194"/>
      <c r="AB18" s="2209"/>
      <c r="AC18" s="1650"/>
      <c r="AD18" s="2194"/>
      <c r="AE18" s="2194"/>
      <c r="AF18" s="1651"/>
      <c r="AG18" s="1651"/>
      <c r="AH18" s="2233"/>
      <c r="AI18" s="2234"/>
      <c r="AJ18" s="1630"/>
      <c r="BM18" s="349">
        <v>14</v>
      </c>
    </row>
    <row customHeight="1" ht="14.699999999999998">
      <c r="D19" s="2239"/>
      <c r="E19" s="2235"/>
      <c r="F19" s="2235"/>
      <c r="G19" s="2242"/>
      <c r="H19" s="1656"/>
      <c r="I19" s="2238"/>
      <c r="J19" s="2209"/>
      <c r="K19" s="1639"/>
      <c r="L19" s="2194"/>
      <c r="M19" s="2194"/>
      <c r="N19" s="1646"/>
      <c r="O19" s="2194"/>
      <c r="P19" s="2209"/>
      <c r="Q19" s="1647"/>
      <c r="R19" s="2194"/>
      <c r="S19" s="2194"/>
      <c r="T19" s="1648"/>
      <c r="U19" s="2194"/>
      <c r="V19" s="2209"/>
      <c r="W19" s="1649"/>
      <c r="X19" s="2194"/>
      <c r="Y19" s="2194"/>
      <c r="Z19" s="1568"/>
      <c r="AA19" s="1651"/>
      <c r="AB19" s="2233"/>
      <c r="AC19" s="2233"/>
      <c r="AD19" s="2233"/>
      <c r="AE19" s="2233"/>
      <c r="AF19" s="2233"/>
      <c r="AG19" s="2233"/>
      <c r="AH19" s="2233"/>
      <c r="AI19" s="2234"/>
      <c r="AJ19" s="1630"/>
      <c r="BM19" s="349">
        <v>14</v>
      </c>
    </row>
    <row customHeight="1" ht="14.699999999999998">
      <c r="D20" s="2239"/>
      <c r="E20" s="2235"/>
      <c r="F20" s="2235"/>
      <c r="G20" s="2242"/>
      <c r="H20" s="1656"/>
      <c r="I20" s="2238"/>
      <c r="J20" s="2209"/>
      <c r="K20" s="1639"/>
      <c r="L20" s="2194"/>
      <c r="M20" s="2194"/>
      <c r="N20" s="1646"/>
      <c r="O20" s="2194"/>
      <c r="P20" s="2209"/>
      <c r="Q20" s="1647"/>
      <c r="R20" s="2194"/>
      <c r="S20" s="2194"/>
      <c r="T20" s="1652"/>
      <c r="U20" s="1653"/>
      <c r="V20" s="2233"/>
      <c r="W20" s="2233"/>
      <c r="X20" s="2233"/>
      <c r="Y20" s="2233"/>
      <c r="Z20" s="2233"/>
      <c r="AA20" s="2233"/>
      <c r="AB20" s="2233"/>
      <c r="AC20" s="2233"/>
      <c r="AD20" s="2233"/>
      <c r="AE20" s="2233"/>
      <c r="AF20" s="2233"/>
      <c r="AG20" s="2233"/>
      <c r="AH20" s="2233"/>
      <c r="AI20" s="2234"/>
      <c r="AJ20" s="1630"/>
      <c r="BM20" s="349">
        <v>14</v>
      </c>
    </row>
    <row customHeight="1" ht="11.549999999999999">
      <c r="D21" s="2239"/>
      <c r="E21" s="2235"/>
      <c r="F21" s="2235"/>
      <c r="G21" s="2242"/>
      <c r="H21" s="1657"/>
      <c r="I21" s="2238"/>
      <c r="J21" s="2209"/>
      <c r="K21" s="1639"/>
      <c r="L21" s="2194"/>
      <c r="M21" s="2194"/>
      <c r="N21" s="1651"/>
      <c r="O21" s="1651"/>
      <c r="P21" s="2233"/>
      <c r="Q21" s="2233"/>
      <c r="R21" s="2233"/>
      <c r="S21" s="2233"/>
      <c r="T21" s="2233"/>
      <c r="U21" s="2233"/>
      <c r="V21" s="2233"/>
      <c r="W21" s="2233"/>
      <c r="X21" s="2233"/>
      <c r="Y21" s="2233"/>
      <c r="Z21" s="2233"/>
      <c r="AA21" s="2233"/>
      <c r="AB21" s="2233"/>
      <c r="AC21" s="2233"/>
      <c r="AD21" s="2233"/>
      <c r="AE21" s="2233"/>
      <c r="AF21" s="2233"/>
      <c r="AG21" s="2233"/>
      <c r="AH21" s="2233"/>
      <c r="AI21" s="2234"/>
      <c r="AJ21" s="1630"/>
      <c r="BM21" s="349">
        <v>11</v>
      </c>
    </row>
    <row s="3247" customFormat="1" customHeight="1" ht="11.549999999999999">
      <c r="D22" s="2245"/>
      <c r="E22" s="2246"/>
      <c r="F22" s="2236"/>
      <c r="G22" s="2168"/>
      <c r="H22" s="1654"/>
      <c r="I22" s="1658"/>
      <c r="J22" s="2243"/>
      <c r="K22" s="2243"/>
      <c r="L22" s="2243"/>
      <c r="M22" s="2243"/>
      <c r="N22" s="2243"/>
      <c r="O22" s="2243"/>
      <c r="P22" s="2243"/>
      <c r="Q22" s="2243"/>
      <c r="R22" s="2243"/>
      <c r="S22" s="2243"/>
      <c r="T22" s="2243"/>
      <c r="U22" s="2243"/>
      <c r="V22" s="2243"/>
      <c r="W22" s="2243"/>
      <c r="X22" s="2243"/>
      <c r="Y22" s="2243"/>
      <c r="Z22" s="2243"/>
      <c r="AA22" s="2243"/>
      <c r="AB22" s="2243"/>
      <c r="AC22" s="2243"/>
      <c r="AD22" s="2243"/>
      <c r="AE22" s="2243"/>
      <c r="AF22" s="2243"/>
      <c r="AG22" s="2243"/>
      <c r="AH22" s="2243"/>
      <c r="AI22" s="2244"/>
      <c r="AJ22" s="1630"/>
      <c r="AK22" s="362"/>
      <c r="AL22" s="1630"/>
      <c r="AM22" s="1630"/>
      <c r="AN22" s="1630"/>
      <c r="AO22" s="1630"/>
      <c r="AP22" s="1630"/>
      <c r="AQ22" s="1630"/>
      <c r="AR22" s="1630"/>
      <c r="AS22" s="1630"/>
      <c r="AT22" s="1630"/>
      <c r="AU22" s="1630"/>
      <c r="AV22" s="1630"/>
      <c r="AW22" s="1630"/>
      <c r="AX22" s="1630"/>
      <c r="AY22" s="1630"/>
      <c r="AZ22" s="1630"/>
      <c r="BA22" s="1630"/>
      <c r="BB22" s="1630"/>
      <c r="BC22" s="1630"/>
      <c r="BD22" s="1630"/>
      <c r="BE22" s="1630"/>
      <c r="BF22" s="1630"/>
      <c r="BG22" s="1630"/>
      <c r="BH22" s="1630"/>
      <c r="BI22" s="1630"/>
      <c r="BJ22" s="1630"/>
      <c r="BK22" s="1630"/>
      <c r="BL22" s="1630"/>
      <c r="BM22" s="1610">
        <v>11</v>
      </c>
    </row>
    <row customHeight="1" ht="15">
      <c r="D23" s="2239" t="s">
        <v>94</v>
      </c>
      <c r="E23" s="2235" t="s">
        <v>425</v>
      </c>
      <c r="F23" s="2235" t="s">
        <v>428</v>
      </c>
      <c r="G23" s="2241" t="s">
        <v>19</v>
      </c>
      <c r="H23" s="1655"/>
      <c r="I23" s="2237"/>
      <c r="J23" s="2208"/>
      <c r="K23" s="1570"/>
      <c r="L23" s="2193"/>
      <c r="M23" s="2193"/>
      <c r="N23" s="1640"/>
      <c r="O23" s="2193"/>
      <c r="P23" s="2208"/>
      <c r="Q23" s="1641"/>
      <c r="R23" s="2193"/>
      <c r="S23" s="2193"/>
      <c r="T23" s="1642"/>
      <c r="U23" s="2193"/>
      <c r="V23" s="2208"/>
      <c r="W23" s="1643"/>
      <c r="X23" s="2193"/>
      <c r="Y23" s="2193"/>
      <c r="Z23" s="1640"/>
      <c r="AA23" s="2193"/>
      <c r="AB23" s="2208"/>
      <c r="AC23" s="1644"/>
      <c r="AD23" s="2193"/>
      <c r="AE23" s="2193"/>
      <c r="AF23" s="1569"/>
      <c r="AG23" s="1569"/>
      <c r="AH23" s="1645"/>
      <c r="AI23" s="1352"/>
      <c r="AJ23" s="1630"/>
      <c r="AK23" s="362" t="s">
        <v>102</v>
      </c>
      <c r="BM23" s="349">
        <v>14</v>
      </c>
    </row>
    <row customHeight="1" ht="14.699999999999998">
      <c r="D24" s="2239"/>
      <c r="E24" s="2235"/>
      <c r="F24" s="2235"/>
      <c r="G24" s="2242"/>
      <c r="H24" s="1656"/>
      <c r="I24" s="2238"/>
      <c r="J24" s="2209"/>
      <c r="K24" s="1666"/>
      <c r="L24" s="2194"/>
      <c r="M24" s="2194"/>
      <c r="N24" s="1646"/>
      <c r="O24" s="2194"/>
      <c r="P24" s="2209"/>
      <c r="Q24" s="1647"/>
      <c r="R24" s="2194"/>
      <c r="S24" s="2194"/>
      <c r="T24" s="1648"/>
      <c r="U24" s="2194"/>
      <c r="V24" s="2209"/>
      <c r="W24" s="1649"/>
      <c r="X24" s="2194"/>
      <c r="Y24" s="2194"/>
      <c r="Z24" s="1646"/>
      <c r="AA24" s="2194"/>
      <c r="AB24" s="2209"/>
      <c r="AC24" s="1650"/>
      <c r="AD24" s="2194"/>
      <c r="AE24" s="2194"/>
      <c r="AF24" s="1651"/>
      <c r="AG24" s="1651"/>
      <c r="AH24" s="2233"/>
      <c r="AI24" s="2234"/>
      <c r="AJ24" s="1630"/>
      <c r="BM24" s="349">
        <v>14</v>
      </c>
    </row>
    <row customHeight="1" ht="14.699999999999998">
      <c r="D25" s="2239"/>
      <c r="E25" s="2235"/>
      <c r="F25" s="2235"/>
      <c r="G25" s="2242"/>
      <c r="H25" s="1656"/>
      <c r="I25" s="2238"/>
      <c r="J25" s="2209"/>
      <c r="K25" s="1666"/>
      <c r="L25" s="2194"/>
      <c r="M25" s="2194"/>
      <c r="N25" s="1646"/>
      <c r="O25" s="2194"/>
      <c r="P25" s="2209"/>
      <c r="Q25" s="1647"/>
      <c r="R25" s="2194"/>
      <c r="S25" s="2194"/>
      <c r="T25" s="1648"/>
      <c r="U25" s="2194"/>
      <c r="V25" s="2209"/>
      <c r="W25" s="1649"/>
      <c r="X25" s="2194"/>
      <c r="Y25" s="2194"/>
      <c r="Z25" s="1568"/>
      <c r="AA25" s="1651"/>
      <c r="AB25" s="2233"/>
      <c r="AC25" s="2233"/>
      <c r="AD25" s="2233"/>
      <c r="AE25" s="2233"/>
      <c r="AF25" s="2233"/>
      <c r="AG25" s="2233"/>
      <c r="AH25" s="2233"/>
      <c r="AI25" s="2234"/>
      <c r="AJ25" s="1630"/>
      <c r="BM25" s="349">
        <v>14</v>
      </c>
    </row>
    <row customHeight="1" ht="14.699999999999998">
      <c r="D26" s="2239"/>
      <c r="E26" s="2235"/>
      <c r="F26" s="2235"/>
      <c r="G26" s="2242"/>
      <c r="H26" s="1656"/>
      <c r="I26" s="2238"/>
      <c r="J26" s="2209"/>
      <c r="K26" s="1666"/>
      <c r="L26" s="2194"/>
      <c r="M26" s="2194"/>
      <c r="N26" s="1646"/>
      <c r="O26" s="2194"/>
      <c r="P26" s="2209"/>
      <c r="Q26" s="1647"/>
      <c r="R26" s="2194"/>
      <c r="S26" s="2194"/>
      <c r="T26" s="1652"/>
      <c r="U26" s="1653"/>
      <c r="V26" s="2233"/>
      <c r="W26" s="2233"/>
      <c r="X26" s="2233"/>
      <c r="Y26" s="2233"/>
      <c r="Z26" s="2233"/>
      <c r="AA26" s="2233"/>
      <c r="AB26" s="2233"/>
      <c r="AC26" s="2233"/>
      <c r="AD26" s="2233"/>
      <c r="AE26" s="2233"/>
      <c r="AF26" s="2233"/>
      <c r="AG26" s="2233"/>
      <c r="AH26" s="2233"/>
      <c r="AI26" s="2234"/>
      <c r="AJ26" s="1630"/>
      <c r="BM26" s="349">
        <v>14</v>
      </c>
    </row>
    <row customHeight="1" ht="11.549999999999999">
      <c r="D27" s="2239"/>
      <c r="E27" s="2235"/>
      <c r="F27" s="2235"/>
      <c r="G27" s="2242"/>
      <c r="H27" s="1657"/>
      <c r="I27" s="2238"/>
      <c r="J27" s="2209"/>
      <c r="K27" s="1666"/>
      <c r="L27" s="2194"/>
      <c r="M27" s="2194"/>
      <c r="N27" s="1651"/>
      <c r="O27" s="1651"/>
      <c r="P27" s="2233"/>
      <c r="Q27" s="2233"/>
      <c r="R27" s="2233"/>
      <c r="S27" s="2233"/>
      <c r="T27" s="2233"/>
      <c r="U27" s="2233"/>
      <c r="V27" s="2233"/>
      <c r="W27" s="2233"/>
      <c r="X27" s="2233"/>
      <c r="Y27" s="2233"/>
      <c r="Z27" s="2233"/>
      <c r="AA27" s="2233"/>
      <c r="AB27" s="2233"/>
      <c r="AC27" s="2233"/>
      <c r="AD27" s="2233"/>
      <c r="AE27" s="2233"/>
      <c r="AF27" s="2233"/>
      <c r="AG27" s="2233"/>
      <c r="AH27" s="2233"/>
      <c r="AI27" s="2234"/>
      <c r="AJ27" s="1630"/>
      <c r="BM27" s="349">
        <v>11</v>
      </c>
    </row>
    <row s="3247" customFormat="1" customHeight="1" ht="11.549999999999999">
      <c r="D28" s="2245"/>
      <c r="E28" s="2246"/>
      <c r="F28" s="2236"/>
      <c r="G28" s="2168"/>
      <c r="H28" s="1654"/>
      <c r="I28" s="1658"/>
      <c r="J28" s="2243"/>
      <c r="K28" s="2243"/>
      <c r="L28" s="2243"/>
      <c r="M28" s="2243"/>
      <c r="N28" s="2243"/>
      <c r="O28" s="2243"/>
      <c r="P28" s="2243"/>
      <c r="Q28" s="2243"/>
      <c r="R28" s="2243"/>
      <c r="S28" s="2243"/>
      <c r="T28" s="2243"/>
      <c r="U28" s="2243"/>
      <c r="V28" s="2243"/>
      <c r="W28" s="2243"/>
      <c r="X28" s="2243"/>
      <c r="Y28" s="2243"/>
      <c r="Z28" s="2243"/>
      <c r="AA28" s="2243"/>
      <c r="AB28" s="2243"/>
      <c r="AC28" s="2243"/>
      <c r="AD28" s="2243"/>
      <c r="AE28" s="2243"/>
      <c r="AF28" s="2243"/>
      <c r="AG28" s="2243"/>
      <c r="AH28" s="2243"/>
      <c r="AI28" s="2244"/>
      <c r="AJ28" s="1630"/>
      <c r="AK28" s="362"/>
      <c r="AL28" s="1630"/>
      <c r="AM28" s="1630"/>
      <c r="AN28" s="1630"/>
      <c r="AO28" s="1630"/>
      <c r="AP28" s="1630"/>
      <c r="AQ28" s="1630"/>
      <c r="AR28" s="1630"/>
      <c r="AS28" s="1630"/>
      <c r="AT28" s="1630"/>
      <c r="AU28" s="1630"/>
      <c r="AV28" s="1630"/>
      <c r="AW28" s="1630"/>
      <c r="AX28" s="1630"/>
      <c r="AY28" s="1630"/>
      <c r="AZ28" s="1630"/>
      <c r="BA28" s="1630"/>
      <c r="BB28" s="1630"/>
      <c r="BC28" s="1630"/>
      <c r="BD28" s="1630"/>
      <c r="BE28" s="1630"/>
      <c r="BF28" s="1630"/>
      <c r="BG28" s="1630"/>
      <c r="BH28" s="1630"/>
      <c r="BI28" s="1630"/>
      <c r="BJ28" s="1630"/>
      <c r="BK28" s="1630"/>
      <c r="BL28" s="1630"/>
      <c r="BM28" s="1610">
        <v>11</v>
      </c>
    </row>
    <row customHeight="1" ht="15">
      <c r="D29" s="2239" t="s">
        <v>95</v>
      </c>
      <c r="E29" s="2235" t="s">
        <v>425</v>
      </c>
      <c r="F29" s="2235" t="s">
        <v>429</v>
      </c>
      <c r="G29" s="2241" t="s">
        <v>19</v>
      </c>
      <c r="H29" s="1655"/>
      <c r="I29" s="2237"/>
      <c r="J29" s="2208"/>
      <c r="K29" s="1570"/>
      <c r="L29" s="2193"/>
      <c r="M29" s="2193"/>
      <c r="N29" s="1640"/>
      <c r="O29" s="2193"/>
      <c r="P29" s="2208"/>
      <c r="Q29" s="1641"/>
      <c r="R29" s="2193"/>
      <c r="S29" s="2193"/>
      <c r="T29" s="1642"/>
      <c r="U29" s="2193"/>
      <c r="V29" s="2208"/>
      <c r="W29" s="1643"/>
      <c r="X29" s="2193"/>
      <c r="Y29" s="2193"/>
      <c r="Z29" s="1640"/>
      <c r="AA29" s="2193"/>
      <c r="AB29" s="2208"/>
      <c r="AC29" s="1644"/>
      <c r="AD29" s="2193"/>
      <c r="AE29" s="2193"/>
      <c r="AF29" s="1569"/>
      <c r="AG29" s="1569"/>
      <c r="AH29" s="1645"/>
      <c r="AI29" s="1352"/>
      <c r="AJ29" s="1630"/>
      <c r="BM29" s="349">
        <v>14</v>
      </c>
    </row>
    <row customHeight="1" ht="14.699999999999998">
      <c r="D30" s="2239"/>
      <c r="E30" s="2235"/>
      <c r="F30" s="2235"/>
      <c r="G30" s="2242"/>
      <c r="H30" s="1656"/>
      <c r="I30" s="2238"/>
      <c r="J30" s="2209"/>
      <c r="K30" s="1639"/>
      <c r="L30" s="2194"/>
      <c r="M30" s="2194"/>
      <c r="N30" s="1646"/>
      <c r="O30" s="2194"/>
      <c r="P30" s="2209"/>
      <c r="Q30" s="1647"/>
      <c r="R30" s="2194"/>
      <c r="S30" s="2194"/>
      <c r="T30" s="1648"/>
      <c r="U30" s="2194"/>
      <c r="V30" s="2209"/>
      <c r="W30" s="1649"/>
      <c r="X30" s="2194"/>
      <c r="Y30" s="2194"/>
      <c r="Z30" s="1646"/>
      <c r="AA30" s="2194"/>
      <c r="AB30" s="2209"/>
      <c r="AC30" s="1650"/>
      <c r="AD30" s="2194"/>
      <c r="AE30" s="2194"/>
      <c r="AF30" s="1651"/>
      <c r="AG30" s="1651"/>
      <c r="AH30" s="2233"/>
      <c r="AI30" s="2234"/>
      <c r="AJ30" s="1630"/>
      <c r="BM30" s="349">
        <v>14</v>
      </c>
    </row>
    <row customHeight="1" ht="14.699999999999998">
      <c r="D31" s="2239"/>
      <c r="E31" s="2235"/>
      <c r="F31" s="2235"/>
      <c r="G31" s="2242"/>
      <c r="H31" s="1656"/>
      <c r="I31" s="2238"/>
      <c r="J31" s="2209"/>
      <c r="K31" s="1639"/>
      <c r="L31" s="2194"/>
      <c r="M31" s="2194"/>
      <c r="N31" s="1646"/>
      <c r="O31" s="2194"/>
      <c r="P31" s="2209"/>
      <c r="Q31" s="1647"/>
      <c r="R31" s="2194"/>
      <c r="S31" s="2194"/>
      <c r="T31" s="1648"/>
      <c r="U31" s="2194"/>
      <c r="V31" s="2209"/>
      <c r="W31" s="1649"/>
      <c r="X31" s="2194"/>
      <c r="Y31" s="2194"/>
      <c r="Z31" s="1568"/>
      <c r="AA31" s="1651"/>
      <c r="AB31" s="2233"/>
      <c r="AC31" s="2233"/>
      <c r="AD31" s="2233"/>
      <c r="AE31" s="2233"/>
      <c r="AF31" s="2233"/>
      <c r="AG31" s="2233"/>
      <c r="AH31" s="2233"/>
      <c r="AI31" s="2234"/>
      <c r="AJ31" s="1630"/>
      <c r="BM31" s="349">
        <v>14</v>
      </c>
    </row>
    <row customHeight="1" ht="14.699999999999998">
      <c r="D32" s="2239"/>
      <c r="E32" s="2235"/>
      <c r="F32" s="2235"/>
      <c r="G32" s="2242"/>
      <c r="H32" s="1656"/>
      <c r="I32" s="2238"/>
      <c r="J32" s="2209"/>
      <c r="K32" s="1639"/>
      <c r="L32" s="2194"/>
      <c r="M32" s="2194"/>
      <c r="N32" s="1646"/>
      <c r="O32" s="2194"/>
      <c r="P32" s="2209"/>
      <c r="Q32" s="1647"/>
      <c r="R32" s="2194"/>
      <c r="S32" s="2194"/>
      <c r="T32" s="1652"/>
      <c r="U32" s="1653"/>
      <c r="V32" s="2233"/>
      <c r="W32" s="2233"/>
      <c r="X32" s="2233"/>
      <c r="Y32" s="2233"/>
      <c r="Z32" s="2233"/>
      <c r="AA32" s="2233"/>
      <c r="AB32" s="2233"/>
      <c r="AC32" s="2233"/>
      <c r="AD32" s="2233"/>
      <c r="AE32" s="2233"/>
      <c r="AF32" s="2233"/>
      <c r="AG32" s="2233"/>
      <c r="AH32" s="2233"/>
      <c r="AI32" s="2234"/>
      <c r="AJ32" s="1630"/>
      <c r="BM32" s="349">
        <v>14</v>
      </c>
    </row>
    <row customHeight="1" ht="11.549999999999999">
      <c r="D33" s="2239"/>
      <c r="E33" s="2235"/>
      <c r="F33" s="2235"/>
      <c r="G33" s="2242"/>
      <c r="H33" s="1657"/>
      <c r="I33" s="2238"/>
      <c r="J33" s="2209"/>
      <c r="K33" s="1639"/>
      <c r="L33" s="2194"/>
      <c r="M33" s="2194"/>
      <c r="N33" s="1651"/>
      <c r="O33" s="1651"/>
      <c r="P33" s="2233"/>
      <c r="Q33" s="2233"/>
      <c r="R33" s="2233"/>
      <c r="S33" s="2233"/>
      <c r="T33" s="2233"/>
      <c r="U33" s="2233"/>
      <c r="V33" s="2233"/>
      <c r="W33" s="2233"/>
      <c r="X33" s="2233"/>
      <c r="Y33" s="2233"/>
      <c r="Z33" s="2233"/>
      <c r="AA33" s="2233"/>
      <c r="AB33" s="2233"/>
      <c r="AC33" s="2233"/>
      <c r="AD33" s="2233"/>
      <c r="AE33" s="2233"/>
      <c r="AF33" s="2233"/>
      <c r="AG33" s="2233"/>
      <c r="AH33" s="2233"/>
      <c r="AI33" s="2234"/>
      <c r="AJ33" s="1630"/>
      <c r="BM33" s="349">
        <v>11</v>
      </c>
    </row>
    <row s="3247" customFormat="1" customHeight="1" ht="11.549999999999999">
      <c r="D34" s="2245"/>
      <c r="E34" s="2246"/>
      <c r="F34" s="2236"/>
      <c r="G34" s="2168"/>
      <c r="H34" s="1654"/>
      <c r="I34" s="1658"/>
      <c r="J34" s="2243"/>
      <c r="K34" s="2243"/>
      <c r="L34" s="2243"/>
      <c r="M34" s="2243"/>
      <c r="N34" s="2243"/>
      <c r="O34" s="2243"/>
      <c r="P34" s="2243"/>
      <c r="Q34" s="2243"/>
      <c r="R34" s="2243"/>
      <c r="S34" s="2243"/>
      <c r="T34" s="2243"/>
      <c r="U34" s="2243"/>
      <c r="V34" s="2243"/>
      <c r="W34" s="2243"/>
      <c r="X34" s="2243"/>
      <c r="Y34" s="2243"/>
      <c r="Z34" s="2243"/>
      <c r="AA34" s="2243"/>
      <c r="AB34" s="2243"/>
      <c r="AC34" s="2243"/>
      <c r="AD34" s="2243"/>
      <c r="AE34" s="2243"/>
      <c r="AF34" s="2243"/>
      <c r="AG34" s="2243"/>
      <c r="AH34" s="2243"/>
      <c r="AI34" s="2244"/>
      <c r="AJ34" s="1630"/>
      <c r="AK34" s="362"/>
      <c r="AL34" s="1630"/>
      <c r="AM34" s="1630"/>
      <c r="AN34" s="1630"/>
      <c r="AO34" s="1630"/>
      <c r="AP34" s="1630"/>
      <c r="AQ34" s="1630"/>
      <c r="AR34" s="1630"/>
      <c r="AS34" s="1630"/>
      <c r="AT34" s="1630"/>
      <c r="AU34" s="1630"/>
      <c r="AV34" s="1630"/>
      <c r="AW34" s="1630"/>
      <c r="AX34" s="1630"/>
      <c r="AY34" s="1630"/>
      <c r="AZ34" s="1630"/>
      <c r="BA34" s="1630"/>
      <c r="BB34" s="1630"/>
      <c r="BC34" s="1630"/>
      <c r="BD34" s="1630"/>
      <c r="BE34" s="1630"/>
      <c r="BF34" s="1630"/>
      <c r="BG34" s="1630"/>
      <c r="BH34" s="1630"/>
      <c r="BI34" s="1630"/>
      <c r="BJ34" s="1630"/>
      <c r="BK34" s="1630"/>
      <c r="BL34" s="1630"/>
      <c r="BM34" s="1610">
        <v>11</v>
      </c>
    </row>
    <row customHeight="1" ht="15">
      <c r="D35" s="2239" t="s">
        <v>122</v>
      </c>
      <c r="E35" s="2235" t="s">
        <v>425</v>
      </c>
      <c r="F35" s="2235" t="s">
        <v>430</v>
      </c>
      <c r="G35" s="2241" t="s">
        <v>19</v>
      </c>
      <c r="H35" s="1655"/>
      <c r="I35" s="2237"/>
      <c r="J35" s="2208"/>
      <c r="K35" s="1570"/>
      <c r="L35" s="2193"/>
      <c r="M35" s="2193"/>
      <c r="N35" s="1640"/>
      <c r="O35" s="2193"/>
      <c r="P35" s="2208"/>
      <c r="Q35" s="1641"/>
      <c r="R35" s="2193"/>
      <c r="S35" s="2193"/>
      <c r="T35" s="1642"/>
      <c r="U35" s="2193"/>
      <c r="V35" s="2208"/>
      <c r="W35" s="1643"/>
      <c r="X35" s="2193"/>
      <c r="Y35" s="2193"/>
      <c r="Z35" s="1640"/>
      <c r="AA35" s="2193"/>
      <c r="AB35" s="2208"/>
      <c r="AC35" s="1644"/>
      <c r="AD35" s="2193"/>
      <c r="AE35" s="2193"/>
      <c r="AF35" s="1569"/>
      <c r="AG35" s="1569"/>
      <c r="AH35" s="1645"/>
      <c r="AI35" s="1352"/>
      <c r="AJ35" s="1630"/>
      <c r="BM35" s="349">
        <v>14</v>
      </c>
    </row>
    <row customHeight="1" ht="14.699999999999998">
      <c r="D36" s="2239"/>
      <c r="E36" s="2235"/>
      <c r="F36" s="2235"/>
      <c r="G36" s="2242"/>
      <c r="H36" s="1656"/>
      <c r="I36" s="2238"/>
      <c r="J36" s="2209"/>
      <c r="K36" s="1639"/>
      <c r="L36" s="2194"/>
      <c r="M36" s="2194"/>
      <c r="N36" s="1646"/>
      <c r="O36" s="2194"/>
      <c r="P36" s="2209"/>
      <c r="Q36" s="1647"/>
      <c r="R36" s="2194"/>
      <c r="S36" s="2194"/>
      <c r="T36" s="1648"/>
      <c r="U36" s="2194"/>
      <c r="V36" s="2209"/>
      <c r="W36" s="1649"/>
      <c r="X36" s="2194"/>
      <c r="Y36" s="2194"/>
      <c r="Z36" s="1646"/>
      <c r="AA36" s="2194"/>
      <c r="AB36" s="2209"/>
      <c r="AC36" s="1650"/>
      <c r="AD36" s="2194"/>
      <c r="AE36" s="2194"/>
      <c r="AF36" s="1651"/>
      <c r="AG36" s="1651"/>
      <c r="AH36" s="2233"/>
      <c r="AI36" s="2234"/>
      <c r="AJ36" s="1630"/>
      <c r="BM36" s="349">
        <v>14</v>
      </c>
    </row>
    <row customHeight="1" ht="14.699999999999998">
      <c r="D37" s="2239"/>
      <c r="E37" s="2235"/>
      <c r="F37" s="2235"/>
      <c r="G37" s="2242"/>
      <c r="H37" s="1656"/>
      <c r="I37" s="2238"/>
      <c r="J37" s="2209"/>
      <c r="K37" s="1639"/>
      <c r="L37" s="2194"/>
      <c r="M37" s="2194"/>
      <c r="N37" s="1646"/>
      <c r="O37" s="2194"/>
      <c r="P37" s="2209"/>
      <c r="Q37" s="1647"/>
      <c r="R37" s="2194"/>
      <c r="S37" s="2194"/>
      <c r="T37" s="1648"/>
      <c r="U37" s="2194"/>
      <c r="V37" s="2209"/>
      <c r="W37" s="1649"/>
      <c r="X37" s="2194"/>
      <c r="Y37" s="2194"/>
      <c r="Z37" s="1568"/>
      <c r="AA37" s="1651"/>
      <c r="AB37" s="2233"/>
      <c r="AC37" s="2233"/>
      <c r="AD37" s="2233"/>
      <c r="AE37" s="2233"/>
      <c r="AF37" s="2233"/>
      <c r="AG37" s="2233"/>
      <c r="AH37" s="2233"/>
      <c r="AI37" s="2234"/>
      <c r="AJ37" s="1630"/>
      <c r="BM37" s="349">
        <v>14</v>
      </c>
    </row>
    <row customHeight="1" ht="14.699999999999998">
      <c r="D38" s="2239"/>
      <c r="E38" s="2235"/>
      <c r="F38" s="2235"/>
      <c r="G38" s="2242"/>
      <c r="H38" s="1656"/>
      <c r="I38" s="2238"/>
      <c r="J38" s="2209"/>
      <c r="K38" s="1639"/>
      <c r="L38" s="2194"/>
      <c r="M38" s="2194"/>
      <c r="N38" s="1646"/>
      <c r="O38" s="2194"/>
      <c r="P38" s="2209"/>
      <c r="Q38" s="1647"/>
      <c r="R38" s="2194"/>
      <c r="S38" s="2194"/>
      <c r="T38" s="1652"/>
      <c r="U38" s="1653"/>
      <c r="V38" s="2233"/>
      <c r="W38" s="2233"/>
      <c r="X38" s="2233"/>
      <c r="Y38" s="2233"/>
      <c r="Z38" s="2233"/>
      <c r="AA38" s="2233"/>
      <c r="AB38" s="2233"/>
      <c r="AC38" s="2233"/>
      <c r="AD38" s="2233"/>
      <c r="AE38" s="2233"/>
      <c r="AF38" s="2233"/>
      <c r="AG38" s="2233"/>
      <c r="AH38" s="2233"/>
      <c r="AI38" s="2234"/>
      <c r="AJ38" s="1630"/>
      <c r="BM38" s="349">
        <v>14</v>
      </c>
    </row>
    <row customHeight="1" ht="11.549999999999999">
      <c r="D39" s="2239"/>
      <c r="E39" s="2235"/>
      <c r="F39" s="2235"/>
      <c r="G39" s="2242"/>
      <c r="H39" s="1657"/>
      <c r="I39" s="2238"/>
      <c r="J39" s="2209"/>
      <c r="K39" s="1639"/>
      <c r="L39" s="2194"/>
      <c r="M39" s="2194"/>
      <c r="N39" s="1651"/>
      <c r="O39" s="1651"/>
      <c r="P39" s="2233"/>
      <c r="Q39" s="2233"/>
      <c r="R39" s="2233"/>
      <c r="S39" s="2233"/>
      <c r="T39" s="2233"/>
      <c r="U39" s="2233"/>
      <c r="V39" s="2233"/>
      <c r="W39" s="2233"/>
      <c r="X39" s="2233"/>
      <c r="Y39" s="2233"/>
      <c r="Z39" s="2233"/>
      <c r="AA39" s="2233"/>
      <c r="AB39" s="2233"/>
      <c r="AC39" s="2233"/>
      <c r="AD39" s="2233"/>
      <c r="AE39" s="2233"/>
      <c r="AF39" s="2233"/>
      <c r="AG39" s="2233"/>
      <c r="AH39" s="2233"/>
      <c r="AI39" s="2234"/>
      <c r="AJ39" s="1630"/>
      <c r="BM39" s="349">
        <v>11</v>
      </c>
    </row>
    <row s="3247" customFormat="1" customHeight="1" ht="11.549999999999999">
      <c r="D40" s="2239"/>
      <c r="E40" s="2235"/>
      <c r="F40" s="2240"/>
      <c r="G40" s="2168"/>
      <c r="H40" s="1654"/>
      <c r="I40" s="1658"/>
      <c r="J40" s="2243"/>
      <c r="K40" s="2243"/>
      <c r="L40" s="2243"/>
      <c r="M40" s="2243"/>
      <c r="N40" s="2243"/>
      <c r="O40" s="2243"/>
      <c r="P40" s="2243"/>
      <c r="Q40" s="2243"/>
      <c r="R40" s="2243"/>
      <c r="S40" s="2243"/>
      <c r="T40" s="2243"/>
      <c r="U40" s="2243"/>
      <c r="V40" s="2243"/>
      <c r="W40" s="2243"/>
      <c r="X40" s="2243"/>
      <c r="Y40" s="2243"/>
      <c r="Z40" s="2243"/>
      <c r="AA40" s="2243"/>
      <c r="AB40" s="2243"/>
      <c r="AC40" s="2243"/>
      <c r="AD40" s="2243"/>
      <c r="AE40" s="2243"/>
      <c r="AF40" s="2243"/>
      <c r="AG40" s="2243"/>
      <c r="AH40" s="2243"/>
      <c r="AI40" s="2244"/>
      <c r="AJ40" s="1630"/>
      <c r="AK40" s="362"/>
      <c r="AL40" s="1630"/>
      <c r="AM40" s="1630"/>
      <c r="AN40" s="1630"/>
      <c r="AO40" s="1630"/>
      <c r="AP40" s="1630"/>
      <c r="AQ40" s="1630"/>
      <c r="AR40" s="1630"/>
      <c r="AS40" s="1630"/>
      <c r="AT40" s="1630"/>
      <c r="AU40" s="1630"/>
      <c r="AV40" s="1630"/>
      <c r="AW40" s="1630"/>
      <c r="AX40" s="1630"/>
      <c r="AY40" s="1630"/>
      <c r="AZ40" s="1630"/>
      <c r="BA40" s="1630"/>
      <c r="BB40" s="1630"/>
      <c r="BC40" s="1630"/>
      <c r="BD40" s="1630"/>
      <c r="BE40" s="1630"/>
      <c r="BF40" s="1630"/>
      <c r="BG40" s="1630"/>
      <c r="BH40" s="1630"/>
      <c r="BI40" s="1630"/>
      <c r="BJ40" s="1630"/>
      <c r="BK40" s="1630"/>
      <c r="BL40" s="1630"/>
      <c r="BM40" s="1610">
        <v>11</v>
      </c>
    </row>
    <row customHeight="1" ht="11.549999999999999">
      <c r="AK41" s="479"/>
      <c r="BM41" s="349">
        <v>11</v>
      </c>
    </row>
    <row customHeight="1" ht="11.549999999999999">
      <c r="AK42" s="479"/>
      <c r="BM42" s="349">
        <v>11</v>
      </c>
    </row>
    <row customHeight="1" ht="11.549999999999999">
      <c r="AK43" s="479"/>
      <c r="BM43" s="349">
        <v>11</v>
      </c>
    </row>
    <row customHeight="1" ht="11.549999999999999">
      <c r="AK44" s="479"/>
      <c r="BM44" s="349">
        <v>11</v>
      </c>
    </row>
    <row customHeight="1" ht="11.549999999999999">
      <c r="AK45" s="479"/>
      <c r="BM45" s="349">
        <v>11</v>
      </c>
    </row>
    <row customHeight="1" ht="11.549999999999999">
      <c r="AK46" s="479"/>
      <c r="BM46" s="349">
        <v>11</v>
      </c>
    </row>
    <row customHeight="1" ht="11.549999999999999">
      <c r="AK47" s="479"/>
      <c r="BM47" s="349">
        <v>11</v>
      </c>
    </row>
    <row customHeight="1" ht="11.549999999999999">
      <c r="AK48" s="479"/>
      <c r="BM48" s="349">
        <v>11</v>
      </c>
    </row>
    <row customHeight="1" ht="11.549999999999999">
      <c r="AK49" s="479"/>
      <c r="BM49" s="349">
        <v>11</v>
      </c>
    </row>
    <row customHeight="1" ht="11.25" hidden="1">
      <c r="A50" s="349" t="s">
        <v>86</v>
      </c>
      <c r="B50" s="349">
        <v>0</v>
      </c>
      <c r="C50" s="349">
        <v>3</v>
      </c>
      <c r="D50" s="349">
        <v>3</v>
      </c>
      <c r="E50" s="349">
        <v>15</v>
      </c>
      <c r="F50" s="349">
        <v>15</v>
      </c>
      <c r="G50" s="349">
        <v>11</v>
      </c>
      <c r="H50" s="349">
        <v>3</v>
      </c>
      <c r="I50" s="349">
        <v>3</v>
      </c>
      <c r="J50" s="349">
        <v>12</v>
      </c>
      <c r="K50" s="349">
        <v>0</v>
      </c>
      <c r="L50" s="349">
        <v>10</v>
      </c>
      <c r="M50" s="349">
        <v>10</v>
      </c>
      <c r="N50" s="349">
        <v>3</v>
      </c>
      <c r="O50" s="349">
        <v>3</v>
      </c>
      <c r="P50" s="349">
        <v>19</v>
      </c>
      <c r="Q50" s="349">
        <v>0</v>
      </c>
      <c r="R50" s="349">
        <v>10</v>
      </c>
      <c r="S50" s="349">
        <v>10</v>
      </c>
      <c r="T50" s="349">
        <v>3</v>
      </c>
      <c r="U50" s="349">
        <v>3</v>
      </c>
      <c r="V50" s="349">
        <v>25</v>
      </c>
      <c r="W50" s="349">
        <v>0</v>
      </c>
      <c r="X50" s="349">
        <v>10</v>
      </c>
      <c r="Y50" s="349">
        <v>10</v>
      </c>
      <c r="Z50" s="349">
        <v>3</v>
      </c>
      <c r="AA50" s="349">
        <v>3</v>
      </c>
      <c r="AB50" s="349">
        <v>16</v>
      </c>
      <c r="AC50" s="349">
        <v>0</v>
      </c>
      <c r="AD50" s="349">
        <v>10</v>
      </c>
      <c r="AE50" s="349">
        <v>10</v>
      </c>
      <c r="AF50" s="349">
        <v>3</v>
      </c>
      <c r="AG50" s="349">
        <v>3</v>
      </c>
      <c r="AH50" s="349">
        <v>8</v>
      </c>
      <c r="AI50" s="349">
        <v>21</v>
      </c>
      <c r="AJ50" s="479">
        <v>8</v>
      </c>
      <c r="AK50" s="362">
        <v>8</v>
      </c>
      <c r="AL50" s="479">
        <v>8</v>
      </c>
      <c r="AM50" s="479">
        <v>8</v>
      </c>
      <c r="AN50" s="479">
        <v>8</v>
      </c>
      <c r="AO50" s="479">
        <v>8</v>
      </c>
      <c r="AP50" s="479">
        <v>8</v>
      </c>
      <c r="AQ50" s="479">
        <v>8</v>
      </c>
      <c r="AR50" s="479">
        <v>8</v>
      </c>
      <c r="AS50" s="479">
        <v>8</v>
      </c>
      <c r="AT50" s="479">
        <v>8</v>
      </c>
      <c r="AU50" s="479">
        <v>8</v>
      </c>
      <c r="AV50" s="479">
        <v>8</v>
      </c>
      <c r="AW50" s="479">
        <v>8</v>
      </c>
      <c r="AX50" s="479">
        <v>8</v>
      </c>
      <c r="AY50" s="479">
        <v>8</v>
      </c>
      <c r="AZ50" s="479">
        <v>8</v>
      </c>
      <c r="BA50" s="479">
        <v>8</v>
      </c>
      <c r="BB50" s="479">
        <v>8</v>
      </c>
      <c r="BC50" s="479">
        <v>8</v>
      </c>
      <c r="BD50" s="479">
        <v>8</v>
      </c>
      <c r="BE50" s="479">
        <v>8</v>
      </c>
      <c r="BF50" s="479">
        <v>8</v>
      </c>
      <c r="BG50" s="479">
        <v>8</v>
      </c>
      <c r="BH50" s="479">
        <v>8</v>
      </c>
      <c r="BI50" s="479">
        <v>8</v>
      </c>
      <c r="BJ50" s="479">
        <v>8</v>
      </c>
      <c r="BK50" s="479">
        <v>8</v>
      </c>
      <c r="BL50" s="479">
        <v>8</v>
      </c>
      <c r="BM50" s="349">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E2103C-A0C4-EA73-5387-FC1210016267}"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911" width="1.7109375" customWidth="1"/>
    <col min="2" max="2" style="2911" width="34.57421875" customWidth="1"/>
    <col min="3" max="3" style="2911" width="85.00390625" customWidth="1"/>
    <col min="4" max="4" style="2911" width="17.00390625" customWidth="1"/>
    <col min="5" max="5" style="2911" width="8.00390625" customWidth="1"/>
    <col min="6" max="6" style="2911" width="9.140625" hidden="1"/>
  </cols>
  <sheetData>
    <row customHeight="1" ht="3">
      <c r="F1" s="145" t="s">
        <v>14</v>
      </c>
    </row>
    <row customHeight="1" ht="22.5">
      <c r="B2" s="2669" t="s">
        <v>2036</v>
      </c>
      <c r="C2" s="2556"/>
      <c r="D2" s="2556"/>
      <c r="E2" s="324"/>
      <c r="F2" s="145">
        <v>22</v>
      </c>
    </row>
    <row customHeight="1" ht="3">
      <c r="F3" s="145">
        <v>3</v>
      </c>
    </row>
    <row customHeight="1" ht="23.25">
      <c r="B4" s="2670" t="s">
        <v>2037</v>
      </c>
      <c r="C4" s="439" t="s">
        <v>2038</v>
      </c>
      <c r="D4" s="439" t="s">
        <v>2039</v>
      </c>
      <c r="F4" s="145">
        <v>22</v>
      </c>
    </row>
    <row customHeight="1" ht="11.25" hidden="1">
      <c r="A5" s="145" t="s">
        <v>86</v>
      </c>
      <c r="B5" s="145">
        <v>34</v>
      </c>
      <c r="C5" s="145">
        <v>85</v>
      </c>
      <c r="D5" s="145">
        <v>17</v>
      </c>
      <c r="E5" s="145">
        <v>8</v>
      </c>
      <c r="F5" s="145">
        <v>11</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3AC648-A559-F1C6-91F3-59B90D7EF34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911" width="26.57421875" customWidth="1"/>
    <col min="2" max="2" style="2911" width="10.00390625" customWidth="1"/>
    <col min="3" max="3" style="2911" width="9.140625"/>
    <col min="4" max="4" style="2911" width="11.140625" customWidth="1"/>
    <col min="5" max="5" style="2911" width="16.57421875" customWidth="1"/>
    <col min="6" max="6" style="2911" width="16.28125" customWidth="1"/>
    <col min="7" max="7" style="2911" width="19.140625" customWidth="1"/>
    <col min="8" max="11" style="2911" width="10.00390625" customWidth="1"/>
    <col min="12" max="12" style="2911" width="12.7109375" customWidth="1"/>
    <col min="13" max="13" style="2911" width="61.28125" customWidth="1"/>
    <col min="14" max="14" style="2911" width="10.00390625" customWidth="1"/>
    <col min="15" max="17" style="2911" width="23.7109375" customWidth="1"/>
    <col min="18" max="18" style="2911" width="11.7109375" customWidth="1"/>
    <col min="19" max="19" style="2911" width="8.57421875" customWidth="1"/>
    <col min="20" max="20" style="2911" width="11.7109375" customWidth="1"/>
    <col min="21" max="21" style="2911" width="8.57421875" customWidth="1"/>
    <col min="22" max="22" style="2911" width="4.7109375" customWidth="1"/>
    <col min="23" max="23" style="2911" width="115.7109375" customWidth="1"/>
    <col min="24" max="24" style="2911" width="115.28125" customWidth="1"/>
    <col min="25" max="27" style="2911" width="9.140625"/>
    <col min="28" max="28" style="2911" width="115.7109375" customWidth="1"/>
    <col min="29" max="29" style="2911" width="9.140625"/>
    <col min="30" max="90" style="2911" width="115.7109375" customWidth="1"/>
    <col min="91" max="184" style="2911" width="9.140625"/>
  </cols>
  <sheetData>
    <row r="2" s="13261" customFormat="1" customHeight="1" ht="17.25">
      <c r="A2" s="1871" t="s">
        <v>2040</v>
      </c>
    </row>
    <row r="4" s="13252" customFormat="1" customHeight="1" ht="15">
      <c r="C4" s="1872"/>
      <c r="D4" s="169"/>
      <c r="E4" s="433"/>
    </row>
    <row r="6" s="13261" customFormat="1" customHeight="1" ht="17.25">
      <c r="A6" s="1871" t="s">
        <v>2041</v>
      </c>
    </row>
    <row r="8" s="13252" customFormat="1" customHeight="1" ht="17.25">
      <c r="C8" s="1873"/>
      <c r="D8" s="169"/>
      <c r="E8" s="170"/>
    </row>
    <row r="11" s="13261" customFormat="1" customHeight="1" ht="17.25">
      <c r="A11" s="1871" t="s">
        <v>2042</v>
      </c>
    </row>
    <row r="13" s="2866" customFormat="1" customHeight="1" ht="15">
      <c r="A13" s="2273">
        <v>1</v>
      </c>
      <c r="B13" s="1216"/>
      <c r="C13" s="857" t="s">
        <v>109</v>
      </c>
      <c r="D13" s="1874"/>
      <c r="E13" s="1861">
        <f>A13</f>
        <v>1</v>
      </c>
      <c r="F13" s="860"/>
      <c r="G13" s="596" t="str">
        <f>"Территория "&amp;E13</f>
        <v>Территория 1</v>
      </c>
      <c r="H13" s="848"/>
      <c r="I13" s="848"/>
      <c r="J13" s="845"/>
      <c r="K13" s="1680"/>
      <c r="L13" s="1680"/>
      <c r="M13" s="1680"/>
      <c r="N13" s="282"/>
      <c r="O13" s="1680"/>
      <c r="P13" s="281"/>
      <c r="Q13" s="281"/>
      <c r="R13" s="281"/>
      <c r="S13" s="281"/>
    </row>
    <row s="2911" customFormat="1" customHeight="1" ht="15">
      <c r="A14" s="2273"/>
      <c r="B14" s="1216">
        <v>1</v>
      </c>
      <c r="C14" s="1216"/>
      <c r="D14" s="856"/>
      <c r="E14" s="1869" t="str">
        <f>A13&amp;"."&amp;B14</f>
        <v>1.1</v>
      </c>
      <c r="F14" s="859">
        <f>$F$20</f>
        <v>0</v>
      </c>
      <c r="G14" s="849"/>
      <c r="H14" s="849"/>
      <c r="I14" s="847"/>
      <c r="J14" s="1680"/>
      <c r="K14" s="1692"/>
      <c r="L14" s="1692"/>
      <c r="M14" s="1680" t="str">
        <f t="array" ref="M14:M14">IF(ISERROR(MATCH(MID(N14,1,250),MID(note_ter,1,250),0)),"n","y")</f>
        <v>n</v>
      </c>
      <c r="N14" s="1692"/>
      <c r="O14" s="1680" t="str">
        <f>H14&amp;"("&amp;I14&amp;")"</f>
        <v>()</v>
      </c>
      <c r="P14" s="1216"/>
      <c r="Q14" s="1216"/>
      <c r="R14" s="476"/>
      <c r="S14" s="1216"/>
      <c r="T14" s="1216"/>
      <c r="U14" s="1216"/>
      <c r="V14" s="478"/>
      <c r="W14" s="478"/>
      <c r="X14" s="475"/>
      <c r="Y14" s="475"/>
      <c r="Z14" s="475"/>
      <c r="AA14" s="475"/>
      <c r="AB14" s="475"/>
      <c r="AC14" s="475"/>
      <c r="AD14" s="475"/>
      <c r="AE14" s="475"/>
      <c r="AF14" s="475"/>
      <c r="AG14" s="475"/>
      <c r="AH14" s="475"/>
      <c r="AI14" s="475"/>
      <c r="AJ14" s="475"/>
      <c r="AK14" s="475"/>
      <c r="AL14" s="475"/>
      <c r="AM14" s="475"/>
      <c r="AN14" s="475"/>
      <c r="AO14" s="475"/>
      <c r="AP14" s="475"/>
      <c r="AQ14" s="475"/>
      <c r="AR14" s="475"/>
      <c r="AS14" s="475"/>
      <c r="AT14" s="475"/>
      <c r="AU14" s="475"/>
      <c r="AV14" s="475"/>
      <c r="AW14" s="475"/>
      <c r="AX14" s="475"/>
      <c r="AY14" s="475"/>
      <c r="AZ14" s="475"/>
      <c r="BA14" s="475"/>
      <c r="BB14" s="475"/>
      <c r="BC14" s="475"/>
      <c r="BD14" s="475"/>
      <c r="BE14" s="475"/>
      <c r="BF14" s="475"/>
      <c r="BG14" s="475"/>
      <c r="BH14" s="475"/>
      <c r="BI14" s="475"/>
      <c r="BJ14" s="475"/>
      <c r="BK14" s="475"/>
      <c r="BL14" s="475"/>
      <c r="BM14" s="475"/>
      <c r="BN14" s="475"/>
      <c r="BO14" s="475"/>
      <c r="BP14" s="475"/>
      <c r="BQ14" s="475"/>
      <c r="BR14" s="475"/>
      <c r="BS14" s="478"/>
      <c r="BT14" s="478"/>
      <c r="BU14" s="478"/>
      <c r="BV14" s="478"/>
      <c r="BW14" s="478"/>
      <c r="BX14" s="478"/>
      <c r="BY14" s="478"/>
      <c r="BZ14" s="478"/>
      <c r="CA14" s="478"/>
      <c r="CB14" s="478"/>
    </row>
    <row s="2911" customFormat="1" customHeight="1" ht="15">
      <c r="A15" s="2273"/>
      <c r="B15" s="1216"/>
      <c r="C15" s="468"/>
      <c r="D15" s="857"/>
      <c r="E15" s="477"/>
      <c r="F15" s="233"/>
      <c r="G15" s="471" t="s">
        <v>107</v>
      </c>
      <c r="H15" s="243"/>
      <c r="I15" s="480"/>
      <c r="J15" s="1692"/>
      <c r="K15" s="1692"/>
      <c r="L15" s="1692"/>
      <c r="M15" s="1692"/>
      <c r="N15" s="1680"/>
      <c r="O15" s="1692"/>
      <c r="P15" s="1216"/>
      <c r="Q15" s="1216"/>
      <c r="R15" s="476"/>
      <c r="S15" s="1216"/>
      <c r="T15" s="1216"/>
      <c r="U15" s="1216"/>
      <c r="V15" s="478"/>
      <c r="W15" s="478"/>
      <c r="X15" s="475"/>
      <c r="Y15" s="475"/>
      <c r="Z15" s="475"/>
      <c r="AA15" s="475"/>
      <c r="AB15" s="475"/>
      <c r="AC15" s="475"/>
      <c r="AD15" s="475"/>
      <c r="AE15" s="475"/>
      <c r="AF15" s="475"/>
      <c r="AG15" s="475"/>
      <c r="AH15" s="475"/>
      <c r="AI15" s="475"/>
      <c r="AJ15" s="475"/>
      <c r="AK15" s="475"/>
      <c r="AL15" s="475"/>
      <c r="AM15" s="475"/>
      <c r="AN15" s="475"/>
      <c r="AO15" s="475"/>
      <c r="AP15" s="475"/>
      <c r="AQ15" s="475"/>
      <c r="AR15" s="475"/>
      <c r="AS15" s="475"/>
      <c r="AT15" s="475"/>
      <c r="AU15" s="475"/>
      <c r="AV15" s="475"/>
      <c r="AW15" s="475"/>
      <c r="AX15" s="475"/>
      <c r="AY15" s="475"/>
      <c r="AZ15" s="475"/>
      <c r="BA15" s="475"/>
      <c r="BB15" s="475"/>
      <c r="BC15" s="475"/>
      <c r="BD15" s="475"/>
      <c r="BE15" s="475"/>
      <c r="BF15" s="475"/>
      <c r="BG15" s="475"/>
      <c r="BH15" s="475"/>
      <c r="BI15" s="475"/>
      <c r="BJ15" s="475"/>
      <c r="BK15" s="475"/>
      <c r="BL15" s="475"/>
      <c r="BM15" s="475"/>
      <c r="BN15" s="475"/>
      <c r="BO15" s="475"/>
      <c r="BP15" s="475"/>
      <c r="BQ15" s="475"/>
      <c r="BR15" s="475"/>
      <c r="BS15" s="478"/>
      <c r="BT15" s="478"/>
      <c r="BU15" s="478"/>
      <c r="BV15" s="478"/>
      <c r="BW15" s="478"/>
      <c r="BX15" s="478"/>
      <c r="BY15" s="478"/>
      <c r="BZ15" s="478"/>
      <c r="CA15" s="478"/>
      <c r="CB15" s="478"/>
    </row>
    <row r="17" s="13261" customFormat="1" customHeight="1" ht="17.25">
      <c r="A17" s="1871" t="s">
        <v>2043</v>
      </c>
    </row>
    <row r="19" s="2911" customFormat="1" customHeight="1" ht="15">
      <c r="A19" s="1938"/>
      <c r="B19" s="1422">
        <v>1</v>
      </c>
      <c r="C19" s="1422"/>
      <c r="D19" s="856" t="s">
        <v>109</v>
      </c>
      <c r="E19" s="1934"/>
      <c r="F19" s="1939">
        <f>$F$20</f>
        <v>0</v>
      </c>
      <c r="G19" s="1943"/>
      <c r="H19" s="1943"/>
      <c r="I19" s="1941"/>
      <c r="J19" s="1680"/>
      <c r="K19" s="1692"/>
      <c r="L19" s="1692"/>
      <c r="M19" s="1680" t="str">
        <f t="array" ref="M19:M19">IF(ISERROR(MATCH(MID(N19,1,250),MID(note_ter,1,250),0)),"n","y")</f>
        <v>n</v>
      </c>
      <c r="N19" s="1692"/>
      <c r="O19" s="1680" t="str">
        <f>H19&amp;"("&amp;I19&amp;")"</f>
        <v>()</v>
      </c>
      <c r="P19" s="1422"/>
      <c r="Q19" s="1422"/>
      <c r="R19" s="476"/>
      <c r="S19" s="1422"/>
      <c r="T19" s="1422"/>
      <c r="U19" s="1422"/>
      <c r="V19" s="889"/>
      <c r="W19" s="889"/>
      <c r="X19" s="683"/>
      <c r="Y19" s="683"/>
      <c r="Z19" s="683"/>
      <c r="AA19" s="683"/>
      <c r="AB19" s="683"/>
      <c r="AC19" s="683"/>
      <c r="AD19" s="683"/>
      <c r="AE19" s="683"/>
      <c r="AF19" s="683"/>
      <c r="AG19" s="683"/>
      <c r="AH19" s="683"/>
      <c r="AI19" s="683"/>
      <c r="AJ19" s="683"/>
      <c r="AK19" s="683"/>
      <c r="AL19" s="683"/>
      <c r="AM19" s="683"/>
      <c r="AN19" s="683"/>
      <c r="AO19" s="683"/>
      <c r="AP19" s="683"/>
      <c r="AQ19" s="683"/>
      <c r="AR19" s="683"/>
      <c r="AS19" s="683"/>
      <c r="AT19" s="683"/>
      <c r="AU19" s="683"/>
      <c r="AV19" s="683"/>
      <c r="AW19" s="683"/>
      <c r="AX19" s="683"/>
      <c r="AY19" s="683"/>
      <c r="AZ19" s="683"/>
      <c r="BA19" s="683"/>
      <c r="BB19" s="683"/>
      <c r="BC19" s="683"/>
      <c r="BD19" s="683"/>
      <c r="BE19" s="683"/>
      <c r="BF19" s="683"/>
      <c r="BG19" s="683"/>
      <c r="BH19" s="683"/>
      <c r="BI19" s="683"/>
      <c r="BJ19" s="683"/>
      <c r="BK19" s="683"/>
      <c r="BL19" s="683"/>
      <c r="BM19" s="683"/>
      <c r="BN19" s="683"/>
      <c r="BO19" s="683"/>
      <c r="BP19" s="683"/>
      <c r="BQ19" s="683"/>
      <c r="BR19" s="683"/>
      <c r="BS19" s="889"/>
      <c r="BT19" s="889"/>
      <c r="BU19" s="889"/>
      <c r="BV19" s="889"/>
      <c r="BW19" s="889"/>
      <c r="BX19" s="889"/>
      <c r="BY19" s="889"/>
      <c r="BZ19" s="889"/>
      <c r="CA19" s="889"/>
      <c r="CB19" s="889"/>
    </row>
    <row r="21" s="2911" customFormat="1" customHeight="1" ht="15">
      <c r="A21" s="1871" t="s">
        <v>2044</v>
      </c>
      <c r="B21" s="1871"/>
      <c r="C21" s="1871"/>
      <c r="D21" s="1871"/>
      <c r="E21" s="1871"/>
      <c r="F21" s="1871"/>
      <c r="G21" s="1871"/>
      <c r="H21" s="1871"/>
      <c r="I21" s="1871"/>
      <c r="J21" s="1871"/>
      <c r="K21" s="1871"/>
      <c r="L21" s="1871"/>
      <c r="M21" s="1871"/>
      <c r="N21" s="1871"/>
      <c r="O21" s="1871"/>
      <c r="P21" s="1871"/>
      <c r="Q21" s="1871"/>
      <c r="R21" s="1871"/>
      <c r="S21" s="1871"/>
      <c r="T21" s="1871"/>
      <c r="U21" s="240"/>
      <c r="V21" s="1871"/>
      <c r="W21" s="1871"/>
    </row>
    <row s="2911" customFormat="1" customHeight="1" ht="15">
      <c r="U22" s="241"/>
    </row>
    <row s="2983" customFormat="1" customHeight="1" ht="15">
      <c r="A23" s="479"/>
      <c r="B23" s="479"/>
      <c r="C23" s="1784" t="s">
        <v>109</v>
      </c>
      <c r="D23" s="2164" t="s">
        <v>191</v>
      </c>
      <c r="E23" s="2165"/>
      <c r="F23" s="2163" t="s">
        <v>19</v>
      </c>
      <c r="G23" s="2613"/>
      <c r="H23" s="2183">
        <v>1</v>
      </c>
      <c r="I23" s="2615" t="str">
        <f>IF(U23="","",INDEX(TERRITORY_MR_LIST,MATCH(U23,TERRITORY_LIST_ID,0)))</f>
        <v/>
      </c>
      <c r="J23" s="2163" t="s">
        <v>19</v>
      </c>
      <c r="K23" s="888"/>
      <c r="L23" s="1838" t="s">
        <v>191</v>
      </c>
      <c r="M23" s="659"/>
      <c r="N23" s="660"/>
      <c r="O23" s="660"/>
      <c r="P23" s="660"/>
      <c r="Q23" s="660"/>
      <c r="R23" s="660"/>
      <c r="S23" s="660"/>
      <c r="T23" s="660"/>
      <c r="U23" s="661"/>
      <c r="V23" s="660"/>
      <c r="W23" s="660"/>
      <c r="X23" s="651"/>
      <c r="Y23" s="651" t="s">
        <v>197</v>
      </c>
      <c r="Z23" s="651">
        <v>1705000</v>
      </c>
      <c r="AA23" s="651"/>
      <c r="AB23" s="651"/>
      <c r="AC23" s="651"/>
      <c r="AD23" s="651"/>
      <c r="AE23" s="651"/>
      <c r="AF23" s="651"/>
      <c r="AG23" s="651"/>
      <c r="AH23" s="651"/>
      <c r="AI23" s="651"/>
      <c r="AJ23" s="651"/>
      <c r="AK23" s="651"/>
      <c r="AL23" s="651"/>
    </row>
    <row s="2983" customFormat="1" customHeight="1" ht="15">
      <c r="A24" s="479"/>
      <c r="B24" s="479"/>
      <c r="C24" s="232"/>
      <c r="D24" s="2164"/>
      <c r="E24" s="2166"/>
      <c r="F24" s="2163"/>
      <c r="G24" s="2614"/>
      <c r="H24" s="2183"/>
      <c r="I24" s="2616"/>
      <c r="J24" s="2163"/>
      <c r="K24" s="477"/>
      <c r="L24" s="233"/>
      <c r="M24" s="663" t="s">
        <v>198</v>
      </c>
      <c r="N24" s="660"/>
      <c r="O24" s="660"/>
      <c r="P24" s="660"/>
      <c r="Q24" s="660"/>
      <c r="R24" s="660"/>
      <c r="S24" s="660"/>
      <c r="T24" s="660"/>
      <c r="U24" s="661"/>
      <c r="V24" s="660"/>
      <c r="W24" s="660"/>
      <c r="X24" s="651"/>
      <c r="Y24" s="651"/>
      <c r="Z24" s="651"/>
      <c r="AA24" s="651"/>
      <c r="AB24" s="651"/>
      <c r="AC24" s="651"/>
      <c r="AD24" s="651"/>
      <c r="AE24" s="651"/>
      <c r="AF24" s="651"/>
      <c r="AG24" s="651"/>
      <c r="AH24" s="651"/>
      <c r="AI24" s="651"/>
      <c r="AJ24" s="651"/>
      <c r="AK24" s="651"/>
      <c r="AL24" s="651"/>
    </row>
    <row s="2983" customFormat="1" customHeight="1" ht="15">
      <c r="A25" s="479"/>
      <c r="B25" s="479"/>
      <c r="C25" s="232"/>
      <c r="D25" s="2164"/>
      <c r="E25" s="2167"/>
      <c r="F25" s="2163"/>
      <c r="G25" s="477"/>
      <c r="H25" s="233"/>
      <c r="I25" s="636" t="s">
        <v>199</v>
      </c>
      <c r="J25" s="233"/>
      <c r="K25" s="233"/>
      <c r="L25" s="233"/>
      <c r="M25" s="664"/>
      <c r="N25" s="660"/>
      <c r="O25" s="660"/>
      <c r="P25" s="660"/>
      <c r="Q25" s="660"/>
      <c r="R25" s="660"/>
      <c r="S25" s="660"/>
      <c r="T25" s="660"/>
      <c r="U25" s="661"/>
      <c r="V25" s="660"/>
      <c r="W25" s="660"/>
      <c r="X25" s="651"/>
      <c r="Y25" s="651"/>
      <c r="Z25" s="651"/>
      <c r="AA25" s="651"/>
      <c r="AB25" s="651"/>
      <c r="AC25" s="651"/>
      <c r="AD25" s="651"/>
      <c r="AE25" s="651"/>
      <c r="AF25" s="651"/>
      <c r="AG25" s="651"/>
      <c r="AH25" s="651"/>
      <c r="AI25" s="651"/>
      <c r="AJ25" s="651"/>
      <c r="AK25" s="651"/>
      <c r="AL25" s="651"/>
    </row>
    <row s="2911" customFormat="1" customHeight="1" ht="15">
      <c r="U26" s="241"/>
    </row>
    <row s="2911" customFormat="1" customHeight="1" ht="15">
      <c r="A27" s="1871" t="s">
        <v>2045</v>
      </c>
      <c r="B27" s="1871"/>
      <c r="C27" s="1871"/>
      <c r="D27" s="1871"/>
      <c r="E27" s="1871"/>
      <c r="F27" s="1871"/>
      <c r="G27" s="1871"/>
      <c r="H27" s="1871"/>
      <c r="I27" s="1871"/>
      <c r="J27" s="1871"/>
      <c r="K27" s="1871"/>
      <c r="L27" s="1871"/>
      <c r="M27" s="1871"/>
      <c r="N27" s="1871"/>
      <c r="O27" s="1871"/>
      <c r="P27" s="1871"/>
      <c r="Q27" s="1871"/>
      <c r="R27" s="1871"/>
      <c r="S27" s="1871"/>
      <c r="T27" s="1871"/>
      <c r="U27" s="240"/>
      <c r="V27" s="1871"/>
      <c r="W27" s="1871"/>
    </row>
    <row s="2911" customFormat="1" customHeight="1" ht="15">
      <c r="U28" s="241"/>
    </row>
    <row s="2983" customFormat="1" customHeight="1" ht="15">
      <c r="A29" s="479"/>
      <c r="B29" s="479"/>
      <c r="C29" s="232"/>
      <c r="D29" s="1877"/>
      <c r="E29" s="1877"/>
      <c r="F29" s="1877"/>
      <c r="G29" s="2617" t="s">
        <v>109</v>
      </c>
      <c r="H29" s="2159">
        <v>1</v>
      </c>
      <c r="I29" s="2618" t="str">
        <f>IF(U29="","",INDEX(TERRITORY_MR_LIST,MATCH(U29,TERRITORY_LIST_ID,0)))</f>
        <v/>
      </c>
      <c r="J29" s="2163" t="s">
        <v>19</v>
      </c>
      <c r="K29" s="888"/>
      <c r="L29" s="1838" t="s">
        <v>191</v>
      </c>
      <c r="M29" s="659"/>
      <c r="N29" s="660"/>
      <c r="O29" s="660"/>
      <c r="P29" s="660"/>
      <c r="Q29" s="660"/>
      <c r="R29" s="660"/>
      <c r="S29" s="660"/>
      <c r="T29" s="660"/>
      <c r="U29" s="661"/>
      <c r="V29" s="660"/>
      <c r="W29" s="660"/>
      <c r="X29" s="651"/>
      <c r="Y29" s="651" t="s">
        <v>197</v>
      </c>
      <c r="Z29" s="651">
        <v>1705000</v>
      </c>
      <c r="AA29" s="651"/>
      <c r="AB29" s="651"/>
      <c r="AC29" s="651"/>
      <c r="AD29" s="651"/>
      <c r="AE29" s="651"/>
      <c r="AF29" s="651"/>
      <c r="AG29" s="651"/>
      <c r="AH29" s="651"/>
      <c r="AI29" s="651"/>
      <c r="AJ29" s="651"/>
      <c r="AK29" s="651"/>
      <c r="AL29" s="651"/>
    </row>
    <row s="2983" customFormat="1" customHeight="1" ht="15">
      <c r="A30" s="479"/>
      <c r="B30" s="479"/>
      <c r="C30" s="232"/>
      <c r="D30" s="1877"/>
      <c r="E30" s="1877"/>
      <c r="F30" s="1877"/>
      <c r="G30" s="2617"/>
      <c r="H30" s="2159"/>
      <c r="I30" s="2618"/>
      <c r="J30" s="2163"/>
      <c r="K30" s="477"/>
      <c r="L30" s="233"/>
      <c r="M30" s="663" t="s">
        <v>198</v>
      </c>
      <c r="N30" s="660"/>
      <c r="O30" s="660"/>
      <c r="P30" s="660"/>
      <c r="Q30" s="660"/>
      <c r="R30" s="660"/>
      <c r="S30" s="660"/>
      <c r="T30" s="660"/>
      <c r="U30" s="661"/>
      <c r="V30" s="660"/>
      <c r="W30" s="660"/>
      <c r="X30" s="651"/>
      <c r="Y30" s="651"/>
      <c r="Z30" s="651"/>
      <c r="AA30" s="651"/>
      <c r="AB30" s="651"/>
      <c r="AC30" s="651"/>
      <c r="AD30" s="651"/>
      <c r="AE30" s="651"/>
      <c r="AF30" s="651"/>
      <c r="AG30" s="651"/>
      <c r="AH30" s="651"/>
      <c r="AI30" s="651"/>
      <c r="AJ30" s="651"/>
      <c r="AK30" s="651"/>
      <c r="AL30" s="651"/>
    </row>
    <row s="2911" customFormat="1" customHeight="1" ht="15">
      <c r="U31" s="241"/>
    </row>
    <row s="2911" customFormat="1" customHeight="1" ht="15">
      <c r="A32" s="1871" t="s">
        <v>2046</v>
      </c>
      <c r="B32" s="1871"/>
      <c r="C32" s="1871"/>
      <c r="D32" s="1871"/>
      <c r="E32" s="1871"/>
      <c r="F32" s="1871"/>
      <c r="G32" s="1871"/>
      <c r="H32" s="1871"/>
      <c r="I32" s="1871"/>
      <c r="J32" s="1871"/>
      <c r="K32" s="1871"/>
      <c r="L32" s="1871"/>
      <c r="M32" s="1871"/>
      <c r="N32" s="1871"/>
      <c r="O32" s="1871"/>
      <c r="P32" s="1871"/>
      <c r="Q32" s="1871"/>
      <c r="R32" s="1871"/>
      <c r="S32" s="1871"/>
      <c r="T32" s="1871"/>
      <c r="U32" s="240"/>
      <c r="V32" s="1871"/>
      <c r="W32" s="1871"/>
    </row>
    <row s="2911" customFormat="1" customHeight="1" ht="15">
      <c r="U33" s="241"/>
    </row>
    <row s="2983" customFormat="1" customHeight="1" ht="15">
      <c r="A34" s="479"/>
      <c r="B34" s="479"/>
      <c r="C34" s="232"/>
      <c r="D34" s="1877"/>
      <c r="E34" s="1877"/>
      <c r="F34" s="1877"/>
      <c r="G34" s="1877"/>
      <c r="H34" s="1877"/>
      <c r="I34" s="1877"/>
      <c r="J34" s="1877"/>
      <c r="K34" s="1855" t="s">
        <v>109</v>
      </c>
      <c r="L34" s="1785" t="s">
        <v>191</v>
      </c>
      <c r="M34" s="867"/>
      <c r="N34" s="868"/>
      <c r="O34" s="660"/>
      <c r="P34" s="660"/>
      <c r="Q34" s="660"/>
      <c r="R34" s="660"/>
      <c r="S34" s="660"/>
      <c r="T34" s="660"/>
      <c r="U34" s="661"/>
      <c r="V34" s="660"/>
      <c r="W34" s="660"/>
      <c r="X34" s="651"/>
      <c r="Y34" s="651" t="s">
        <v>197</v>
      </c>
      <c r="Z34" s="651">
        <v>1705000</v>
      </c>
      <c r="AA34" s="651"/>
      <c r="AB34" s="651"/>
      <c r="AC34" s="651"/>
      <c r="AD34" s="651"/>
      <c r="AE34" s="651"/>
      <c r="AF34" s="651"/>
      <c r="AG34" s="651"/>
      <c r="AH34" s="651"/>
      <c r="AI34" s="651"/>
      <c r="AJ34" s="651"/>
      <c r="AK34" s="651"/>
      <c r="AL34" s="651"/>
    </row>
    <row s="2911" customFormat="1" customHeight="1" ht="15">
      <c r="U35" s="241"/>
    </row>
    <row s="2911" customFormat="1" customHeight="1" ht="15">
      <c r="U36" s="241"/>
    </row>
    <row s="13261" customFormat="1" customHeight="1" ht="11.25">
      <c r="A37" s="1871" t="s">
        <v>2047</v>
      </c>
    </row>
    <row customHeight="1" ht="11.25"/>
    <row s="3317" customFormat="1" customHeight="1" ht="22.5">
      <c r="A39" s="1847"/>
      <c r="B39" s="513"/>
      <c r="C39" s="915"/>
      <c r="D39" s="496"/>
      <c r="E39" s="916"/>
      <c r="F39" s="1868"/>
      <c r="G39" s="1878"/>
      <c r="H39" s="531"/>
    </row>
    <row customHeight="1" ht="11.25"/>
    <row s="13261" customFormat="1" customHeight="1" ht="11.25">
      <c r="A41" s="1871" t="s">
        <v>2048</v>
      </c>
    </row>
    <row customHeight="1" ht="11.25"/>
    <row s="3317" customFormat="1" customHeight="1" ht="22.5">
      <c r="A43" s="513"/>
      <c r="B43" s="513"/>
      <c r="C43" s="513"/>
      <c r="D43" s="496"/>
      <c r="E43" s="916"/>
      <c r="F43" s="917"/>
      <c r="G43" s="1878"/>
      <c r="H43" s="531"/>
    </row>
    <row customHeight="1" ht="11.25"/>
    <row s="13261" customFormat="1" customHeight="1" ht="11.25">
      <c r="A45" s="1871" t="s">
        <v>2049</v>
      </c>
    </row>
    <row customHeight="1" ht="11.25"/>
    <row s="3317" customFormat="1" customHeight="1" ht="24">
      <c r="A47" s="2258" t="s">
        <v>445</v>
      </c>
      <c r="B47" s="558"/>
      <c r="C47" s="2269"/>
      <c r="D47" s="501" t="str">
        <f>A47</f>
        <v>5.1</v>
      </c>
      <c r="E47" s="498" t="s">
        <v>446</v>
      </c>
      <c r="F47" s="2032" t="s">
        <v>438</v>
      </c>
      <c r="G47" s="500" t="s">
        <v>447</v>
      </c>
      <c r="H47" s="531"/>
      <c r="I47" s="908"/>
    </row>
    <row s="3317" customFormat="1" customHeight="1" ht="22.5">
      <c r="A48" s="2258"/>
      <c r="B48" s="558"/>
      <c r="C48" s="2269"/>
      <c r="D48" s="496" t="str">
        <f>D47&amp;".1"</f>
        <v>5.1.1</v>
      </c>
      <c r="E48" s="495" t="s">
        <v>448</v>
      </c>
      <c r="F48" s="2033" t="s">
        <v>28</v>
      </c>
      <c r="G48" s="530"/>
      <c r="H48" s="531"/>
      <c r="I48" s="908"/>
    </row>
    <row s="3317" customFormat="1" customHeight="1" ht="22.5">
      <c r="A49" s="2258"/>
      <c r="B49" s="558"/>
      <c r="C49" s="2269"/>
      <c r="D49" s="496" t="str">
        <f>D47&amp;".2"</f>
        <v>5.1.2</v>
      </c>
      <c r="E49" s="495" t="s">
        <v>449</v>
      </c>
      <c r="F49" s="1788" t="s">
        <v>28</v>
      </c>
      <c r="G49" s="500" t="s">
        <v>450</v>
      </c>
      <c r="H49" s="531"/>
      <c r="I49" s="908"/>
    </row>
    <row s="3317" customFormat="1" customHeight="1" ht="22.5">
      <c r="A50" s="2258"/>
      <c r="B50" s="558"/>
      <c r="C50" s="2269"/>
      <c r="D50" s="496" t="str">
        <f>D47&amp;".3"</f>
        <v>5.1.3</v>
      </c>
      <c r="E50" s="495" t="s">
        <v>451</v>
      </c>
      <c r="F50" s="2033" t="s">
        <v>28</v>
      </c>
      <c r="G50" s="530"/>
      <c r="H50" s="531"/>
      <c r="I50" s="908"/>
    </row>
    <row s="3317" customFormat="1" customHeight="1" ht="22.5">
      <c r="A51" s="2258"/>
      <c r="B51" s="558"/>
      <c r="C51" s="2269"/>
      <c r="D51" s="496" t="str">
        <f>D47&amp;".4"</f>
        <v>5.1.4</v>
      </c>
      <c r="E51" s="495" t="s">
        <v>452</v>
      </c>
      <c r="F51" s="2033" t="s">
        <v>28</v>
      </c>
      <c r="G51" s="500" t="s">
        <v>453</v>
      </c>
      <c r="H51" s="531"/>
      <c r="I51" s="908"/>
    </row>
    <row r="54" s="13261" customFormat="1" customHeight="1" ht="17.25">
      <c r="A54" s="1871" t="s">
        <v>2050</v>
      </c>
    </row>
    <row r="56" s="2749" customFormat="1" customHeight="1" ht="18.75">
      <c r="A56" s="145"/>
      <c r="B56" s="1879"/>
      <c r="C56" s="1879"/>
      <c r="D56" s="1880"/>
      <c r="E56" s="1865"/>
      <c r="F56" s="924">
        <v>13</v>
      </c>
      <c r="G56" s="923"/>
      <c r="H56" s="849"/>
      <c r="I56" s="847"/>
      <c r="J56" s="576" t="s">
        <v>65</v>
      </c>
      <c r="K56" s="1881" t="s">
        <v>28</v>
      </c>
      <c r="L56" s="145"/>
      <c r="M56" s="1692"/>
      <c r="N56" s="1692"/>
      <c r="O56" s="1692"/>
      <c r="P56" s="572" t="s">
        <v>524</v>
      </c>
      <c r="Q56" s="572" t="s">
        <v>525</v>
      </c>
      <c r="R56" s="573" t="s">
        <v>526</v>
      </c>
      <c r="S56" s="1692" t="s">
        <v>527</v>
      </c>
      <c r="T56" s="1692"/>
      <c r="U56" s="1692"/>
      <c r="V56" s="1692"/>
    </row>
    <row r="58" s="13261" customFormat="1" customHeight="1" ht="11.25">
      <c r="A58" s="1871" t="s">
        <v>2051</v>
      </c>
    </row>
    <row r="60" s="2774" customFormat="1" customHeight="1" ht="14.25">
      <c r="C60" s="1744"/>
      <c r="D60" s="1925"/>
      <c r="E60" s="1833" t="s">
        <v>28</v>
      </c>
      <c r="F60" s="1924"/>
      <c r="G60" s="912"/>
      <c r="H60" s="1834"/>
      <c r="I60" s="1834"/>
      <c r="J60" s="489"/>
      <c r="K60" s="1919"/>
      <c r="L60" s="488"/>
      <c r="M60" s="1919"/>
      <c r="N60" s="489"/>
      <c r="O60" s="1919"/>
      <c r="P60" s="489"/>
      <c r="Q60" s="1919"/>
      <c r="R60" s="489"/>
      <c r="S60" s="910"/>
      <c r="T60" s="1834"/>
      <c r="U60" s="489"/>
      <c r="V60" s="489"/>
      <c r="W60" s="1923"/>
      <c r="X60" s="1834"/>
      <c r="Y60" s="489"/>
      <c r="Z60" s="489"/>
      <c r="AA60" s="1923"/>
      <c r="AB60" s="1834"/>
      <c r="AC60" s="489"/>
      <c r="AD60" s="1923"/>
      <c r="AE60" s="145"/>
      <c r="AF60" s="145"/>
      <c r="AG60" s="145"/>
      <c r="AH60" s="145"/>
      <c r="AJ60" s="1692"/>
      <c r="AK60" s="1692"/>
      <c r="AL60" s="1692"/>
      <c r="AM60" s="1692"/>
      <c r="AN60" s="1692"/>
      <c r="AO60" s="1692"/>
      <c r="AP60" s="1680" t="s">
        <v>513</v>
      </c>
      <c r="AQ60" s="1680" t="s">
        <v>513</v>
      </c>
      <c r="AR60" s="1692"/>
      <c r="AS60" s="1692"/>
    </row>
    <row r="62" s="13261" customFormat="1" customHeight="1" ht="11.25">
      <c r="A62" s="1871" t="s">
        <v>2052</v>
      </c>
    </row>
    <row r="64" s="12959" customFormat="1" customHeight="1" ht="15">
      <c r="A64" s="201" t="s">
        <v>94</v>
      </c>
      <c r="B64" s="181" t="s">
        <v>28</v>
      </c>
      <c r="C64" s="1882"/>
      <c r="D64" s="184"/>
      <c r="E64" s="437"/>
      <c r="F64" s="437"/>
      <c r="G64" s="1859"/>
      <c r="H64" s="1881"/>
      <c r="I64" s="1860"/>
      <c r="K64" s="328"/>
      <c r="L64" s="329"/>
    </row>
    <row r="66" s="13261" customFormat="1" customHeight="1" ht="11.25">
      <c r="A66" s="1871" t="s">
        <v>2053</v>
      </c>
    </row>
    <row r="68" s="2774" customFormat="1" customHeight="1" ht="14.25">
      <c r="A68" s="399"/>
      <c r="B68" s="1216"/>
      <c r="C68" s="432"/>
      <c r="D68" s="1866"/>
      <c r="E68" s="942"/>
      <c r="F68" s="1881"/>
      <c r="G68" s="145"/>
      <c r="I68" s="1680"/>
      <c r="J68" s="1680"/>
    </row>
    <row r="70" s="13261" customFormat="1" customHeight="1" ht="11.25">
      <c r="A70" s="1871" t="s">
        <v>2054</v>
      </c>
    </row>
    <row r="72" s="2774" customFormat="1" customHeight="1" ht="27">
      <c r="A72" s="1222"/>
      <c r="B72" s="1222"/>
      <c r="C72" s="1222"/>
      <c r="D72" s="1216"/>
      <c r="E72" s="1883"/>
      <c r="F72" s="2637"/>
      <c r="G72" s="2638"/>
      <c r="H72" s="2639" t="s">
        <v>65</v>
      </c>
      <c r="I72" s="2641"/>
      <c r="J72" s="2604"/>
      <c r="K72" s="2643"/>
      <c r="L72" s="2606"/>
      <c r="M72" s="2606"/>
      <c r="N72" s="2607"/>
      <c r="O72" s="2607"/>
      <c r="P72" s="2608">
        <f>DATEDIF(DATEVALUE(N72),DATEVALUE(O72),"y")&amp;"г. "&amp;DATEDIF(DATEVALUE(N72),DATEVALUE(O72),"ym")&amp;"мес. "&amp;DATEVALUE(O72)-DATE(YEAR(DATEVALUE(O72)),MONTH(DATEVALUE(O72)),1)&amp;"дн. "</f>
      </c>
      <c r="Q72" s="2603"/>
      <c r="R72" s="2603"/>
      <c r="S72" s="2603"/>
      <c r="T72" s="2604"/>
      <c r="U72" s="2603"/>
      <c r="V72" s="2603"/>
      <c r="W72" s="2603"/>
      <c r="X72" s="2604"/>
      <c r="Y72" s="2601" t="s">
        <v>65</v>
      </c>
      <c r="Z72" s="1864"/>
      <c r="AA72" s="1848">
        <v>1</v>
      </c>
      <c r="AB72" s="1298"/>
      <c r="AD72" s="1692" t="s">
        <v>2055</v>
      </c>
    </row>
    <row s="2774" customFormat="1" customHeight="1" ht="10.5">
      <c r="A73" s="1222"/>
      <c r="B73" s="1222"/>
      <c r="C73" s="1222"/>
      <c r="D73" s="1216"/>
      <c r="E73" s="1003"/>
      <c r="F73" s="2637"/>
      <c r="G73" s="2638"/>
      <c r="H73" s="2640"/>
      <c r="I73" s="2642"/>
      <c r="J73" s="2605"/>
      <c r="K73" s="2643"/>
      <c r="L73" s="2606"/>
      <c r="M73" s="2606"/>
      <c r="N73" s="2607"/>
      <c r="O73" s="2607"/>
      <c r="P73" s="2608"/>
      <c r="Q73" s="2603"/>
      <c r="R73" s="2603"/>
      <c r="S73" s="2603"/>
      <c r="T73" s="2605"/>
      <c r="U73" s="2603"/>
      <c r="V73" s="2603"/>
      <c r="W73" s="2603"/>
      <c r="X73" s="2605"/>
      <c r="Y73" s="2602"/>
      <c r="Z73" s="403"/>
      <c r="AA73" s="628"/>
      <c r="AB73" s="708" t="s">
        <v>2056</v>
      </c>
    </row>
    <row r="75" s="13261" customFormat="1" customHeight="1" ht="11.25">
      <c r="A75" s="1871" t="s">
        <v>2057</v>
      </c>
    </row>
    <row r="77" s="2774" customFormat="1" customHeight="1" ht="27">
      <c r="A77" s="1222"/>
      <c r="B77" s="1222"/>
      <c r="C77" s="1222"/>
      <c r="D77" s="1216"/>
      <c r="E77" s="1883"/>
      <c r="F77" s="1853"/>
      <c r="G77" s="1803"/>
      <c r="H77" s="1804"/>
      <c r="I77" s="1805"/>
      <c r="J77" s="1806"/>
      <c r="K77" s="1807"/>
      <c r="L77" s="1808"/>
      <c r="M77" s="1808"/>
      <c r="N77" s="1809"/>
      <c r="O77" s="1809"/>
      <c r="P77" s="1810"/>
      <c r="Q77" s="1811"/>
      <c r="R77" s="1811"/>
      <c r="S77" s="1811"/>
      <c r="T77" s="1806"/>
      <c r="U77" s="1811"/>
      <c r="V77" s="1811"/>
      <c r="W77" s="1811"/>
      <c r="X77" s="1806"/>
      <c r="Y77" s="1804"/>
      <c r="Z77" s="1864"/>
      <c r="AA77" s="1848">
        <v>1</v>
      </c>
      <c r="AB77" s="1298"/>
      <c r="AD77" s="1692" t="s">
        <v>2055</v>
      </c>
    </row>
    <row r="79" s="13261" customFormat="1" customHeight="1" ht="11.25">
      <c r="A79" s="1871" t="s">
        <v>2058</v>
      </c>
    </row>
    <row customHeight="1" ht="17.25"/>
    <row s="2774" customFormat="1" customHeight="1" ht="21">
      <c r="A81" s="1223"/>
      <c r="B81" s="1222"/>
      <c r="C81" s="1222"/>
      <c r="D81" s="1216"/>
      <c r="E81" s="1226"/>
      <c r="F81" s="1178">
        <f>INDEX(IP_MAIN_LIST_NAME_IP,MATCH(A81,IP_MAIN_LIST_IP_ID,0))&amp;" ("&amp;INDEX(IP_MAIN_START_DATE,MATCH(A81,IP_MAIN_LIST_IP_ID,0))&amp;"-"&amp;INDEX(IP_MAIN_END_DATE,MATCH(A81,IP_MAIN_LIST_IP_ID,0))&amp;")"</f>
      </c>
      <c r="G81" s="1179"/>
      <c r="H81" s="1179"/>
      <c r="I81" s="1241"/>
      <c r="J81" s="1241"/>
      <c r="K81" s="1242"/>
      <c r="L81" s="1242"/>
      <c r="M81" s="1242"/>
      <c r="N81" s="1243"/>
      <c r="O81" s="1243"/>
      <c r="P81" s="1243"/>
      <c r="Q81" s="1243"/>
      <c r="R81" s="1243"/>
      <c r="S81" s="1243"/>
      <c r="T81" s="1243"/>
      <c r="U81" s="1243"/>
      <c r="V81" s="1243"/>
      <c r="W81" s="1243"/>
      <c r="X81" s="1243"/>
      <c r="Y81" s="1243"/>
      <c r="Z81" s="1243"/>
      <c r="AA81" s="1243"/>
      <c r="AB81" s="1243"/>
      <c r="AC81" s="1243"/>
      <c r="AD81" s="1243"/>
      <c r="AE81" s="1244"/>
      <c r="AF81" s="1242"/>
      <c r="AG81" s="1242"/>
      <c r="AH81" s="1242"/>
      <c r="AI81" s="1242"/>
      <c r="AJ81" s="1242"/>
      <c r="AK81" s="1242"/>
      <c r="AL81" s="2044"/>
      <c r="AM81" s="1879"/>
      <c r="AN81" s="1879"/>
      <c r="AO81" s="1879"/>
      <c r="AP81" s="1879"/>
      <c r="AQ81" s="1879"/>
      <c r="AR81" s="1879"/>
      <c r="AS81" s="1879"/>
      <c r="AT81" s="1879"/>
      <c r="AU81" s="1879"/>
      <c r="AV81" s="1879"/>
      <c r="AW81" s="1879"/>
      <c r="AX81" s="1879"/>
      <c r="AY81" s="1879"/>
      <c r="AZ81" s="1879"/>
      <c r="BA81" s="1879"/>
      <c r="BB81" s="1879"/>
      <c r="BC81" s="1879"/>
      <c r="BD81" s="1879"/>
      <c r="BE81" s="1879"/>
      <c r="BF81" s="1879"/>
    </row>
    <row s="2774" customFormat="1" customHeight="1" ht="0.75">
      <c r="A82" s="1222"/>
      <c r="B82" s="1222"/>
      <c r="C82" s="1222"/>
      <c r="D82" s="1216"/>
      <c r="E82" s="1226"/>
      <c r="F82" s="2592"/>
      <c r="G82" s="2571"/>
      <c r="H82" s="2596" t="s">
        <v>508</v>
      </c>
      <c r="I82" s="2597"/>
      <c r="J82" s="2598"/>
      <c r="K82" s="2598"/>
      <c r="L82" s="2590"/>
      <c r="M82" s="2324"/>
      <c r="N82" s="2092"/>
      <c r="O82" s="2091"/>
      <c r="P82" s="2092"/>
      <c r="Q82" s="2092"/>
      <c r="R82" s="2092"/>
      <c r="S82" s="2092"/>
      <c r="T82" s="2092"/>
      <c r="U82" s="2092"/>
      <c r="V82" s="2092"/>
      <c r="W82" s="2092"/>
      <c r="X82" s="2092"/>
      <c r="Y82" s="2092"/>
      <c r="Z82" s="2092"/>
      <c r="AA82" s="2092"/>
      <c r="AB82" s="2092"/>
      <c r="AC82" s="2092"/>
      <c r="AD82" s="2092"/>
      <c r="AE82" s="2092"/>
      <c r="AF82" s="2594"/>
      <c r="AG82" s="2590"/>
      <c r="AH82" s="2590"/>
      <c r="AI82" s="2594"/>
      <c r="AJ82" s="2590"/>
      <c r="AK82" s="2590"/>
      <c r="AL82" s="2044"/>
      <c r="AM82" s="1879"/>
      <c r="AN82" s="1879"/>
      <c r="AO82" s="1879"/>
      <c r="AP82" s="1879"/>
      <c r="AQ82" s="1879"/>
      <c r="AR82" s="1879"/>
      <c r="AS82" s="1879"/>
      <c r="AT82" s="1879"/>
      <c r="AU82" s="1879"/>
      <c r="AV82" s="1879"/>
      <c r="AW82" s="1879"/>
      <c r="AX82" s="1879"/>
      <c r="AY82" s="1879"/>
      <c r="AZ82" s="1879"/>
      <c r="BA82" s="1879"/>
      <c r="BB82" s="1879"/>
      <c r="BC82" s="1879"/>
      <c r="BD82" s="1879"/>
      <c r="BE82" s="1879"/>
      <c r="BF82" s="1879"/>
    </row>
    <row s="2774" customFormat="1" customHeight="1" ht="0.75">
      <c r="A83" s="1222"/>
      <c r="B83" s="1222"/>
      <c r="C83" s="1222"/>
      <c r="D83" s="1216"/>
      <c r="E83" s="1226"/>
      <c r="F83" s="2592"/>
      <c r="G83" s="2571"/>
      <c r="H83" s="2596"/>
      <c r="I83" s="2597"/>
      <c r="J83" s="2598"/>
      <c r="K83" s="2598"/>
      <c r="L83" s="2590"/>
      <c r="M83" s="2324"/>
      <c r="N83" s="2599"/>
      <c r="O83" s="2600"/>
      <c r="P83" s="2644"/>
      <c r="Q83" s="2595"/>
      <c r="R83" s="2595"/>
      <c r="S83" s="2595"/>
      <c r="T83" s="2595"/>
      <c r="U83" s="2595"/>
      <c r="V83" s="2595"/>
      <c r="W83" s="2595"/>
      <c r="X83" s="2595"/>
      <c r="Y83" s="2595"/>
      <c r="Z83" s="2093"/>
      <c r="AA83" s="2094"/>
      <c r="AB83" s="2094"/>
      <c r="AC83" s="2095"/>
      <c r="AD83" s="2095"/>
      <c r="AE83" s="2096"/>
      <c r="AF83" s="2594"/>
      <c r="AG83" s="2590"/>
      <c r="AH83" s="2590"/>
      <c r="AI83" s="2594"/>
      <c r="AJ83" s="2590"/>
      <c r="AK83" s="2590"/>
      <c r="AL83" s="2044"/>
      <c r="AM83" s="1879"/>
      <c r="AN83" s="1879"/>
      <c r="AO83" s="1879"/>
      <c r="AP83" s="1879"/>
      <c r="AQ83" s="1879"/>
      <c r="AR83" s="1879"/>
      <c r="AS83" s="1879"/>
      <c r="AT83" s="1879"/>
      <c r="AU83" s="1879"/>
      <c r="AV83" s="1879"/>
      <c r="AW83" s="1879"/>
      <c r="AX83" s="1879"/>
      <c r="AY83" s="1879"/>
      <c r="AZ83" s="1879"/>
      <c r="BA83" s="1879"/>
      <c r="BB83" s="1879"/>
      <c r="BC83" s="1879"/>
      <c r="BD83" s="1879"/>
      <c r="BE83" s="1879"/>
      <c r="BF83" s="1879"/>
    </row>
    <row s="2774" customFormat="1" customHeight="1" ht="0.75">
      <c r="A84" s="1222"/>
      <c r="B84" s="1222"/>
      <c r="C84" s="1222"/>
      <c r="D84" s="1216"/>
      <c r="E84" s="1226"/>
      <c r="F84" s="2592"/>
      <c r="G84" s="2571"/>
      <c r="H84" s="2596"/>
      <c r="I84" s="2597"/>
      <c r="J84" s="2598"/>
      <c r="K84" s="2598"/>
      <c r="L84" s="2590"/>
      <c r="M84" s="2324"/>
      <c r="N84" s="2599"/>
      <c r="O84" s="2600"/>
      <c r="P84" s="2645"/>
      <c r="Q84" s="2595"/>
      <c r="R84" s="2595"/>
      <c r="S84" s="2595"/>
      <c r="T84" s="2595"/>
      <c r="U84" s="2595"/>
      <c r="V84" s="2595"/>
      <c r="W84" s="2595"/>
      <c r="X84" s="2595"/>
      <c r="Y84" s="2595"/>
      <c r="Z84" s="2097"/>
      <c r="AA84" s="2098"/>
      <c r="AB84" s="2099"/>
      <c r="AC84" s="2100"/>
      <c r="AD84" s="2099"/>
      <c r="AE84" s="2100"/>
      <c r="AF84" s="2594"/>
      <c r="AG84" s="2590"/>
      <c r="AH84" s="2590"/>
      <c r="AI84" s="2594"/>
      <c r="AJ84" s="2590"/>
      <c r="AK84" s="2590"/>
      <c r="AL84" s="2044"/>
      <c r="AM84" s="1879"/>
      <c r="AN84" s="1879"/>
      <c r="AO84" s="1879"/>
      <c r="AP84" s="1879"/>
      <c r="AQ84" s="1879"/>
      <c r="AR84" s="1879"/>
      <c r="AS84" s="1879"/>
      <c r="AT84" s="1879"/>
      <c r="AU84" s="1879"/>
      <c r="AV84" s="1879"/>
      <c r="AW84" s="1879"/>
      <c r="AX84" s="1879"/>
      <c r="AY84" s="1879"/>
      <c r="AZ84" s="1879"/>
      <c r="BA84" s="1879"/>
      <c r="BB84" s="1879"/>
      <c r="BC84" s="1879"/>
      <c r="BD84" s="1879"/>
      <c r="BE84" s="1879"/>
      <c r="BF84" s="1879"/>
    </row>
    <row s="2774" customFormat="1" customHeight="1" ht="0.75">
      <c r="A85" s="1222"/>
      <c r="B85" s="1222"/>
      <c r="C85" s="1222"/>
      <c r="D85" s="1216"/>
      <c r="E85" s="1226"/>
      <c r="F85" s="2592"/>
      <c r="G85" s="2571"/>
      <c r="H85" s="2596"/>
      <c r="I85" s="2597"/>
      <c r="J85" s="2598"/>
      <c r="K85" s="2598"/>
      <c r="L85" s="2590"/>
      <c r="M85" s="2324"/>
      <c r="N85" s="2599"/>
      <c r="O85" s="2600"/>
      <c r="P85" s="2646"/>
      <c r="Q85" s="2595"/>
      <c r="R85" s="2595"/>
      <c r="S85" s="2595"/>
      <c r="T85" s="2595"/>
      <c r="U85" s="2595"/>
      <c r="V85" s="2595"/>
      <c r="W85" s="2595"/>
      <c r="X85" s="2595"/>
      <c r="Y85" s="2595"/>
      <c r="Z85" s="2093"/>
      <c r="AA85" s="2094"/>
      <c r="AB85" s="2101"/>
      <c r="AC85" s="2095"/>
      <c r="AD85" s="2095"/>
      <c r="AE85" s="2102"/>
      <c r="AF85" s="2594"/>
      <c r="AG85" s="2590"/>
      <c r="AH85" s="2590"/>
      <c r="AI85" s="2594"/>
      <c r="AJ85" s="2590"/>
      <c r="AK85" s="2590"/>
      <c r="AL85" s="2044"/>
      <c r="AM85" s="1879"/>
      <c r="AN85" s="1879"/>
      <c r="AO85" s="1879"/>
      <c r="AP85" s="1879"/>
      <c r="AQ85" s="1879"/>
      <c r="AR85" s="1879"/>
      <c r="AS85" s="1879"/>
      <c r="AT85" s="1879"/>
      <c r="AU85" s="1879"/>
      <c r="AV85" s="1879"/>
      <c r="AW85" s="1879"/>
      <c r="AX85" s="1879"/>
      <c r="AY85" s="1879"/>
      <c r="AZ85" s="1879"/>
      <c r="BA85" s="1879"/>
      <c r="BB85" s="1879"/>
      <c r="BC85" s="1879"/>
      <c r="BD85" s="1879"/>
      <c r="BE85" s="1879"/>
      <c r="BF85" s="1879"/>
    </row>
    <row s="2774" customFormat="1" customHeight="1" ht="0.75">
      <c r="A86" s="1222"/>
      <c r="B86" s="1222"/>
      <c r="C86" s="1222"/>
      <c r="D86" s="1216"/>
      <c r="E86" s="1226"/>
      <c r="F86" s="2592"/>
      <c r="G86" s="2571"/>
      <c r="H86" s="2596"/>
      <c r="I86" s="2597"/>
      <c r="J86" s="2598"/>
      <c r="K86" s="2598"/>
      <c r="L86" s="2590"/>
      <c r="M86" s="2324"/>
      <c r="N86" s="2094"/>
      <c r="O86" s="2094"/>
      <c r="P86" s="2101"/>
      <c r="Q86" s="2094"/>
      <c r="R86" s="2094"/>
      <c r="S86" s="2094"/>
      <c r="T86" s="2094"/>
      <c r="U86" s="2094"/>
      <c r="V86" s="2094"/>
      <c r="W86" s="2094"/>
      <c r="X86" s="2094"/>
      <c r="Y86" s="2094"/>
      <c r="Z86" s="2094"/>
      <c r="AA86" s="2094"/>
      <c r="AB86" s="2094"/>
      <c r="AC86" s="2094"/>
      <c r="AD86" s="2094"/>
      <c r="AE86" s="2103"/>
      <c r="AF86" s="2594"/>
      <c r="AG86" s="2590"/>
      <c r="AH86" s="2590"/>
      <c r="AI86" s="2594"/>
      <c r="AJ86" s="2590"/>
      <c r="AK86" s="2590"/>
      <c r="AL86" s="2044"/>
      <c r="AM86" s="1879"/>
      <c r="AN86" s="1879"/>
      <c r="AO86" s="1879"/>
      <c r="AP86" s="1879"/>
      <c r="AQ86" s="1879"/>
      <c r="AR86" s="1879"/>
      <c r="AS86" s="1879"/>
      <c r="AT86" s="1879"/>
      <c r="AU86" s="1879"/>
      <c r="AV86" s="1879"/>
      <c r="AW86" s="1879"/>
      <c r="AX86" s="1879"/>
      <c r="AY86" s="1879"/>
      <c r="AZ86" s="1879"/>
      <c r="BA86" s="1879"/>
      <c r="BB86" s="1879"/>
      <c r="BC86" s="1879"/>
      <c r="BD86" s="1879"/>
      <c r="BE86" s="1879"/>
      <c r="BF86" s="1879"/>
    </row>
    <row s="2774" customFormat="1" customHeight="1" ht="12">
      <c r="A87" s="1222"/>
      <c r="B87" s="1222"/>
      <c r="C87" s="1222"/>
      <c r="D87" s="1216"/>
      <c r="E87" s="1226"/>
      <c r="F87" s="2593"/>
      <c r="G87" s="1246"/>
      <c r="H87" s="1246"/>
      <c r="I87" s="2591" t="s">
        <v>2059</v>
      </c>
      <c r="J87" s="2591"/>
      <c r="K87" s="2591"/>
      <c r="L87" s="1229"/>
      <c r="M87" s="1229"/>
      <c r="N87" s="1230"/>
      <c r="O87" s="1230"/>
      <c r="P87" s="1230"/>
      <c r="Q87" s="1230"/>
      <c r="R87" s="1230"/>
      <c r="S87" s="1230"/>
      <c r="T87" s="1230"/>
      <c r="U87" s="1230"/>
      <c r="V87" s="1230"/>
      <c r="W87" s="1230"/>
      <c r="X87" s="1230"/>
      <c r="Y87" s="1230"/>
      <c r="Z87" s="1230"/>
      <c r="AA87" s="1230"/>
      <c r="AB87" s="1230"/>
      <c r="AC87" s="1230"/>
      <c r="AD87" s="1230"/>
      <c r="AE87" s="1230"/>
      <c r="AF87" s="1230"/>
      <c r="AG87" s="1229"/>
      <c r="AH87" s="1229"/>
      <c r="AI87" s="1230"/>
      <c r="AJ87" s="1229"/>
      <c r="AK87" s="1230"/>
      <c r="AL87" s="2044"/>
      <c r="AM87" s="1879"/>
      <c r="AN87" s="1879"/>
      <c r="AO87" s="1879"/>
      <c r="AP87" s="1879"/>
      <c r="AQ87" s="1879"/>
      <c r="AR87" s="1879"/>
      <c r="AS87" s="1879"/>
      <c r="AT87" s="1879"/>
      <c r="AU87" s="1879"/>
      <c r="AV87" s="1879"/>
      <c r="AW87" s="1879"/>
      <c r="AX87" s="1879"/>
      <c r="AY87" s="1879"/>
      <c r="AZ87" s="1879"/>
      <c r="BA87" s="1879"/>
      <c r="BB87" s="1879"/>
      <c r="BC87" s="1879"/>
      <c r="BD87" s="1879"/>
      <c r="BE87" s="1879"/>
      <c r="BF87" s="1879"/>
    </row>
    <row r="89" s="13261" customFormat="1" customHeight="1" ht="11.25">
      <c r="A89" s="1871" t="s">
        <v>2060</v>
      </c>
    </row>
    <row r="91" s="2774" customFormat="1" customHeight="1" ht="11.25">
      <c r="A91" s="1222"/>
      <c r="B91" s="1222"/>
      <c r="C91" s="1222"/>
      <c r="D91" s="1216"/>
      <c r="E91" s="1226"/>
      <c r="F91" s="1885"/>
      <c r="G91" s="1886"/>
      <c r="H91" s="1886"/>
      <c r="I91" s="1820"/>
      <c r="J91" s="1820"/>
      <c r="K91" s="1887"/>
      <c r="L91" s="1820"/>
      <c r="M91" s="1886"/>
      <c r="N91" s="2564"/>
      <c r="O91" s="2647">
        <v>1</v>
      </c>
      <c r="P91" s="2566" t="s">
        <v>19</v>
      </c>
      <c r="Q91" s="2569" t="s">
        <v>28</v>
      </c>
      <c r="R91" s="2569" t="s">
        <v>28</v>
      </c>
      <c r="S91" s="2569" t="s">
        <v>28</v>
      </c>
      <c r="T91" s="2569" t="s">
        <v>28</v>
      </c>
      <c r="U91" s="2569" t="s">
        <v>28</v>
      </c>
      <c r="V91" s="2569" t="s">
        <v>28</v>
      </c>
      <c r="W91" s="2569" t="s">
        <v>28</v>
      </c>
      <c r="X91" s="2569" t="s">
        <v>28</v>
      </c>
      <c r="Y91" s="2569"/>
      <c r="Z91" s="1231"/>
      <c r="AA91" s="1232"/>
      <c r="AB91" s="1232"/>
      <c r="AC91" s="1236"/>
      <c r="AD91" s="1236"/>
      <c r="AE91" s="1236"/>
      <c r="AF91" s="1888"/>
      <c r="AG91" s="1815"/>
      <c r="AH91" s="1815"/>
      <c r="AI91" s="1888"/>
      <c r="AJ91" s="1815"/>
      <c r="AK91" s="2043"/>
      <c r="AL91" s="2044"/>
      <c r="AM91" s="1879"/>
      <c r="AN91" s="1879"/>
      <c r="AO91" s="1879"/>
      <c r="AP91" s="1879"/>
      <c r="AQ91" s="1879"/>
      <c r="AR91" s="1879"/>
      <c r="AS91" s="1879"/>
      <c r="AT91" s="1879"/>
      <c r="AU91" s="1879"/>
      <c r="AV91" s="1879"/>
      <c r="AW91" s="1879"/>
      <c r="AX91" s="1879"/>
      <c r="AY91" s="1879"/>
      <c r="AZ91" s="1879"/>
      <c r="BA91" s="1879"/>
      <c r="BB91" s="1879"/>
      <c r="BC91" s="1879"/>
      <c r="BD91" s="1879"/>
      <c r="BE91" s="1879"/>
      <c r="BF91" s="1879"/>
    </row>
    <row s="2774" customFormat="1" customHeight="1" ht="11.25">
      <c r="A92" s="1222"/>
      <c r="B92" s="1222"/>
      <c r="C92" s="1222"/>
      <c r="D92" s="1216"/>
      <c r="E92" s="1226"/>
      <c r="F92" s="1885"/>
      <c r="G92" s="1886"/>
      <c r="H92" s="1886"/>
      <c r="I92" s="1821"/>
      <c r="J92" s="1821"/>
      <c r="K92" s="1887"/>
      <c r="L92" s="1821"/>
      <c r="M92" s="1886"/>
      <c r="N92" s="2564"/>
      <c r="O92" s="2647"/>
      <c r="P92" s="2567"/>
      <c r="Q92" s="2569"/>
      <c r="R92" s="2569"/>
      <c r="S92" s="2570"/>
      <c r="T92" s="2569"/>
      <c r="U92" s="2569"/>
      <c r="V92" s="2569"/>
      <c r="W92" s="2569"/>
      <c r="X92" s="2569"/>
      <c r="Y92" s="2569"/>
      <c r="Z92" s="1884"/>
      <c r="AA92" s="1850">
        <v>1</v>
      </c>
      <c r="AB92" s="1235"/>
      <c r="AC92" s="1225"/>
      <c r="AD92" s="1235">
        <f>AB92</f>
        <v>0</v>
      </c>
      <c r="AE92" s="780"/>
      <c r="AF92" s="1887"/>
      <c r="AG92" s="1815"/>
      <c r="AH92" s="1815"/>
      <c r="AI92" s="1887"/>
      <c r="AJ92" s="1815"/>
      <c r="AK92" s="2043"/>
      <c r="AL92" s="2044"/>
      <c r="AM92" s="1879"/>
      <c r="AN92" s="1879"/>
      <c r="AO92" s="1879"/>
      <c r="AP92" s="1879"/>
      <c r="AQ92" s="1879"/>
      <c r="AR92" s="1879"/>
      <c r="AS92" s="1879"/>
      <c r="AT92" s="1879"/>
      <c r="AU92" s="1879"/>
      <c r="AV92" s="1879"/>
      <c r="AW92" s="1879"/>
      <c r="AX92" s="1879"/>
      <c r="AY92" s="1879"/>
      <c r="AZ92" s="1879"/>
      <c r="BA92" s="1879"/>
      <c r="BB92" s="1879"/>
      <c r="BC92" s="1879"/>
      <c r="BD92" s="1879"/>
      <c r="BE92" s="1879"/>
      <c r="BF92" s="1879"/>
    </row>
    <row s="2774" customFormat="1" customHeight="1" ht="11.25">
      <c r="A93" s="1222"/>
      <c r="B93" s="1222"/>
      <c r="C93" s="1222"/>
      <c r="D93" s="1216"/>
      <c r="E93" s="1226"/>
      <c r="F93" s="1885"/>
      <c r="G93" s="1886"/>
      <c r="H93" s="1886"/>
      <c r="I93" s="1822"/>
      <c r="J93" s="1822"/>
      <c r="K93" s="1887"/>
      <c r="L93" s="1822"/>
      <c r="M93" s="1886"/>
      <c r="N93" s="2564"/>
      <c r="O93" s="2647"/>
      <c r="P93" s="2568"/>
      <c r="Q93" s="2569"/>
      <c r="R93" s="2569"/>
      <c r="S93" s="2570"/>
      <c r="T93" s="2569"/>
      <c r="U93" s="2569"/>
      <c r="V93" s="2569"/>
      <c r="W93" s="2569"/>
      <c r="X93" s="2569"/>
      <c r="Y93" s="2569"/>
      <c r="Z93" s="1231"/>
      <c r="AA93" s="1232"/>
      <c r="AB93" s="1297" t="s">
        <v>2061</v>
      </c>
      <c r="AC93" s="1236"/>
      <c r="AD93" s="1236"/>
      <c r="AE93" s="1236"/>
      <c r="AF93" s="1889"/>
      <c r="AG93" s="1815"/>
      <c r="AH93" s="1815"/>
      <c r="AI93" s="1889"/>
      <c r="AJ93" s="1815"/>
      <c r="AK93" s="2043"/>
      <c r="AL93" s="2044"/>
      <c r="AM93" s="1879"/>
      <c r="AN93" s="1879"/>
      <c r="AO93" s="1879"/>
      <c r="AP93" s="1879"/>
      <c r="AQ93" s="1879"/>
      <c r="AR93" s="1879"/>
      <c r="AS93" s="1879"/>
      <c r="AT93" s="1879"/>
      <c r="AU93" s="1879"/>
      <c r="AV93" s="1879"/>
      <c r="AW93" s="1879"/>
      <c r="AX93" s="1879"/>
      <c r="AY93" s="1879"/>
      <c r="AZ93" s="1879"/>
      <c r="BA93" s="1879"/>
      <c r="BB93" s="1879"/>
      <c r="BC93" s="1879"/>
      <c r="BD93" s="1879"/>
      <c r="BE93" s="1879"/>
      <c r="BF93" s="1879"/>
    </row>
    <row r="95" s="13261" customFormat="1" customHeight="1" ht="11.25">
      <c r="A95" s="1871" t="s">
        <v>2062</v>
      </c>
    </row>
    <row r="97" s="2774" customFormat="1" customHeight="1" ht="11.25">
      <c r="A97" s="1222"/>
      <c r="B97" s="1222"/>
      <c r="C97" s="1222"/>
      <c r="D97" s="1216"/>
      <c r="E97" s="1226"/>
      <c r="F97" s="1886"/>
      <c r="G97" s="1886"/>
      <c r="H97" s="1886"/>
      <c r="I97" s="1886"/>
      <c r="J97" s="1886"/>
      <c r="K97" s="1886"/>
      <c r="L97" s="1886"/>
      <c r="M97" s="1886"/>
      <c r="N97" s="1886"/>
      <c r="O97" s="1886"/>
      <c r="P97" s="1886"/>
      <c r="Q97" s="1886"/>
      <c r="R97" s="1886"/>
      <c r="S97" s="1886"/>
      <c r="T97" s="1886"/>
      <c r="U97" s="1886"/>
      <c r="V97" s="1886"/>
      <c r="W97" s="1886"/>
      <c r="X97" s="1886"/>
      <c r="Y97" s="1886"/>
      <c r="Z97" s="1890"/>
      <c r="AA97" s="1870">
        <v>1</v>
      </c>
      <c r="AB97" s="1235"/>
      <c r="AC97" s="1225"/>
      <c r="AD97" s="1235">
        <f>AB97</f>
        <v>0</v>
      </c>
      <c r="AE97" s="1225"/>
      <c r="AF97" s="1887"/>
      <c r="AG97" s="1815"/>
      <c r="AH97" s="1815"/>
      <c r="AI97" s="1887"/>
      <c r="AJ97" s="1815"/>
      <c r="AK97" s="2043"/>
      <c r="AL97" s="2044"/>
      <c r="AM97" s="1879"/>
      <c r="AN97" s="1879"/>
      <c r="AO97" s="1879"/>
      <c r="AP97" s="1879"/>
      <c r="AQ97" s="1879"/>
      <c r="AR97" s="1879"/>
      <c r="AS97" s="1879"/>
      <c r="AT97" s="1879"/>
      <c r="AU97" s="1879"/>
      <c r="AV97" s="1879"/>
      <c r="AW97" s="1879"/>
      <c r="AX97" s="1879"/>
      <c r="AY97" s="1879"/>
      <c r="AZ97" s="1879"/>
      <c r="BA97" s="1879"/>
      <c r="BB97" s="1879"/>
      <c r="BC97" s="1879"/>
      <c r="BD97" s="1879"/>
      <c r="BE97" s="1879"/>
      <c r="BF97" s="1879"/>
    </row>
    <row r="99" s="13261" customFormat="1" customHeight="1" ht="11.25">
      <c r="A99" s="1871" t="s">
        <v>2063</v>
      </c>
    </row>
    <row r="101" s="2774" customFormat="1" customHeight="1" ht="11.25">
      <c r="A101" s="1222"/>
      <c r="B101" s="1222"/>
      <c r="C101" s="1222"/>
      <c r="D101" s="1216"/>
      <c r="E101" s="1226"/>
      <c r="F101" s="1885"/>
      <c r="G101" s="1886"/>
      <c r="H101" s="2571" t="s">
        <v>191</v>
      </c>
      <c r="I101" s="2572"/>
      <c r="J101" s="2541"/>
      <c r="K101" s="2573"/>
      <c r="L101" s="2163" t="s">
        <v>19</v>
      </c>
      <c r="M101" s="2164"/>
      <c r="N101" s="2042"/>
      <c r="O101" s="1233" t="s">
        <v>508</v>
      </c>
      <c r="P101" s="1234"/>
      <c r="Q101" s="1234"/>
      <c r="R101" s="1234"/>
      <c r="S101" s="1234"/>
      <c r="T101" s="1234"/>
      <c r="U101" s="1234"/>
      <c r="V101" s="1234"/>
      <c r="W101" s="1234"/>
      <c r="X101" s="1234"/>
      <c r="Y101" s="1234"/>
      <c r="Z101" s="1234"/>
      <c r="AA101" s="1234"/>
      <c r="AB101" s="1234"/>
      <c r="AC101" s="1234"/>
      <c r="AD101" s="1234"/>
      <c r="AE101" s="1234"/>
      <c r="AF101" s="2562"/>
      <c r="AG101" s="2563"/>
      <c r="AH101" s="2563"/>
      <c r="AI101" s="2562"/>
      <c r="AJ101" s="2563"/>
      <c r="AK101" s="2563"/>
      <c r="AL101" s="2044"/>
      <c r="AM101" s="1879"/>
      <c r="AN101" s="1879"/>
      <c r="AO101" s="1879"/>
      <c r="AP101" s="1879"/>
      <c r="AQ101" s="1879"/>
      <c r="AR101" s="1879"/>
      <c r="AS101" s="1879"/>
      <c r="AT101" s="1879"/>
      <c r="AU101" s="1879"/>
      <c r="AV101" s="1879"/>
      <c r="AW101" s="1879"/>
      <c r="AX101" s="1879"/>
      <c r="AY101" s="1879"/>
      <c r="AZ101" s="1879"/>
      <c r="BA101" s="1879"/>
      <c r="BB101" s="1879"/>
      <c r="BC101" s="1879"/>
      <c r="BD101" s="1879"/>
      <c r="BE101" s="1879"/>
      <c r="BF101" s="1879"/>
    </row>
    <row s="2774" customFormat="1" customHeight="1" ht="11.25">
      <c r="A102" s="1222"/>
      <c r="B102" s="1222"/>
      <c r="C102" s="1222"/>
      <c r="D102" s="1216"/>
      <c r="E102" s="1226"/>
      <c r="F102" s="1885"/>
      <c r="G102" s="1886"/>
      <c r="H102" s="2571"/>
      <c r="I102" s="2572"/>
      <c r="J102" s="2541"/>
      <c r="K102" s="2573"/>
      <c r="L102" s="2163"/>
      <c r="M102" s="2164"/>
      <c r="N102" s="2564"/>
      <c r="O102" s="2565">
        <v>1</v>
      </c>
      <c r="P102" s="2566" t="s">
        <v>19</v>
      </c>
      <c r="Q102" s="2569" t="s">
        <v>28</v>
      </c>
      <c r="R102" s="2569" t="s">
        <v>28</v>
      </c>
      <c r="S102" s="2569" t="s">
        <v>28</v>
      </c>
      <c r="T102" s="2569" t="s">
        <v>28</v>
      </c>
      <c r="U102" s="2569" t="s">
        <v>28</v>
      </c>
      <c r="V102" s="2569" t="s">
        <v>28</v>
      </c>
      <c r="W102" s="2569" t="s">
        <v>28</v>
      </c>
      <c r="X102" s="2569" t="s">
        <v>28</v>
      </c>
      <c r="Y102" s="2569"/>
      <c r="Z102" s="1231"/>
      <c r="AA102" s="1232"/>
      <c r="AB102" s="1232"/>
      <c r="AC102" s="1236"/>
      <c r="AD102" s="1236"/>
      <c r="AE102" s="1237"/>
      <c r="AF102" s="2562"/>
      <c r="AG102" s="2563"/>
      <c r="AH102" s="2563"/>
      <c r="AI102" s="2562"/>
      <c r="AJ102" s="2563"/>
      <c r="AK102" s="2563"/>
      <c r="AL102" s="2044"/>
      <c r="AM102" s="1879"/>
      <c r="AN102" s="1879"/>
      <c r="AO102" s="1879"/>
      <c r="AP102" s="1879"/>
      <c r="AQ102" s="1879"/>
      <c r="AR102" s="1879"/>
      <c r="AS102" s="1879"/>
      <c r="AT102" s="1879"/>
      <c r="AU102" s="1879"/>
      <c r="AV102" s="1879"/>
      <c r="AW102" s="1879"/>
      <c r="AX102" s="1879"/>
      <c r="AY102" s="1879"/>
      <c r="AZ102" s="1879"/>
      <c r="BA102" s="1879"/>
      <c r="BB102" s="1879"/>
      <c r="BC102" s="1879"/>
      <c r="BD102" s="1879"/>
      <c r="BE102" s="1879"/>
      <c r="BF102" s="1879"/>
    </row>
    <row s="2774" customFormat="1" customHeight="1" ht="11.25">
      <c r="A103" s="1222"/>
      <c r="B103" s="1222"/>
      <c r="C103" s="1222"/>
      <c r="D103" s="1216"/>
      <c r="E103" s="1226"/>
      <c r="F103" s="1885"/>
      <c r="G103" s="1886"/>
      <c r="H103" s="2571"/>
      <c r="I103" s="2572"/>
      <c r="J103" s="2541"/>
      <c r="K103" s="2573"/>
      <c r="L103" s="2163"/>
      <c r="M103" s="2164"/>
      <c r="N103" s="2564"/>
      <c r="O103" s="2565"/>
      <c r="P103" s="2567"/>
      <c r="Q103" s="2569"/>
      <c r="R103" s="2569"/>
      <c r="S103" s="2570"/>
      <c r="T103" s="2569"/>
      <c r="U103" s="2569"/>
      <c r="V103" s="2569"/>
      <c r="W103" s="2569"/>
      <c r="X103" s="2569"/>
      <c r="Y103" s="2569"/>
      <c r="Z103" s="1884"/>
      <c r="AA103" s="1850">
        <v>1</v>
      </c>
      <c r="AB103" s="1235"/>
      <c r="AC103" s="1225"/>
      <c r="AD103" s="1235">
        <f>AB103</f>
        <v>0</v>
      </c>
      <c r="AE103" s="1225"/>
      <c r="AF103" s="2562"/>
      <c r="AG103" s="2563"/>
      <c r="AH103" s="2563"/>
      <c r="AI103" s="2562"/>
      <c r="AJ103" s="2563"/>
      <c r="AK103" s="2563"/>
      <c r="AL103" s="2044"/>
      <c r="AM103" s="1879"/>
      <c r="AN103" s="1879"/>
      <c r="AO103" s="1879"/>
      <c r="AP103" s="1879"/>
      <c r="AQ103" s="1879"/>
      <c r="AR103" s="1879"/>
      <c r="AS103" s="1879"/>
      <c r="AT103" s="1879"/>
      <c r="AU103" s="1879"/>
      <c r="AV103" s="1879"/>
      <c r="AW103" s="1879"/>
      <c r="AX103" s="1879"/>
      <c r="AY103" s="1879"/>
      <c r="AZ103" s="1879"/>
      <c r="BA103" s="1879"/>
      <c r="BB103" s="1879"/>
      <c r="BC103" s="1879"/>
      <c r="BD103" s="1879"/>
      <c r="BE103" s="1879"/>
      <c r="BF103" s="1879"/>
    </row>
    <row s="2774" customFormat="1" customHeight="1" ht="11.25">
      <c r="A104" s="1222"/>
      <c r="B104" s="1222"/>
      <c r="C104" s="1222"/>
      <c r="D104" s="1216"/>
      <c r="E104" s="1226"/>
      <c r="F104" s="1885"/>
      <c r="G104" s="1886"/>
      <c r="H104" s="2571"/>
      <c r="I104" s="2572"/>
      <c r="J104" s="2541"/>
      <c r="K104" s="2573"/>
      <c r="L104" s="2163"/>
      <c r="M104" s="2164"/>
      <c r="N104" s="2564"/>
      <c r="O104" s="2565"/>
      <c r="P104" s="2568"/>
      <c r="Q104" s="2569"/>
      <c r="R104" s="2569"/>
      <c r="S104" s="2570"/>
      <c r="T104" s="2569"/>
      <c r="U104" s="2569"/>
      <c r="V104" s="2569"/>
      <c r="W104" s="2569"/>
      <c r="X104" s="2569"/>
      <c r="Y104" s="2569"/>
      <c r="Z104" s="1231"/>
      <c r="AA104" s="1232"/>
      <c r="AB104" s="1297" t="s">
        <v>2061</v>
      </c>
      <c r="AC104" s="1236"/>
      <c r="AD104" s="1236"/>
      <c r="AE104" s="1238"/>
      <c r="AF104" s="2562"/>
      <c r="AG104" s="2563"/>
      <c r="AH104" s="2563"/>
      <c r="AI104" s="2562"/>
      <c r="AJ104" s="2563"/>
      <c r="AK104" s="2563"/>
      <c r="AL104" s="2044"/>
      <c r="AM104" s="1879"/>
      <c r="AN104" s="1879"/>
      <c r="AO104" s="1879"/>
      <c r="AP104" s="1879"/>
      <c r="AQ104" s="1879"/>
      <c r="AR104" s="1879"/>
      <c r="AS104" s="1879"/>
      <c r="AT104" s="1879"/>
      <c r="AU104" s="1879"/>
      <c r="AV104" s="1879"/>
      <c r="AW104" s="1879"/>
      <c r="AX104" s="1879"/>
      <c r="AY104" s="1879"/>
      <c r="AZ104" s="1879"/>
      <c r="BA104" s="1879"/>
      <c r="BB104" s="1879"/>
      <c r="BC104" s="1879"/>
      <c r="BD104" s="1879"/>
      <c r="BE104" s="1879"/>
      <c r="BF104" s="1879"/>
    </row>
    <row s="2774" customFormat="1" customHeight="1" ht="11.25">
      <c r="A105" s="1222"/>
      <c r="B105" s="1222"/>
      <c r="C105" s="1222"/>
      <c r="D105" s="1216"/>
      <c r="E105" s="1226"/>
      <c r="F105" s="1885"/>
      <c r="G105" s="1886"/>
      <c r="H105" s="2571"/>
      <c r="I105" s="2572"/>
      <c r="J105" s="2541"/>
      <c r="K105" s="2573"/>
      <c r="L105" s="2163"/>
      <c r="M105" s="2164"/>
      <c r="N105" s="1231"/>
      <c r="O105" s="1232"/>
      <c r="P105" s="1224" t="s">
        <v>2064</v>
      </c>
      <c r="Q105" s="1232"/>
      <c r="R105" s="1232"/>
      <c r="S105" s="1232"/>
      <c r="T105" s="1232"/>
      <c r="U105" s="1232"/>
      <c r="V105" s="1232"/>
      <c r="W105" s="1232"/>
      <c r="X105" s="1232"/>
      <c r="Y105" s="1232"/>
      <c r="Z105" s="1232"/>
      <c r="AA105" s="1232"/>
      <c r="AB105" s="1232"/>
      <c r="AC105" s="1232"/>
      <c r="AD105" s="1232"/>
      <c r="AE105" s="1239"/>
      <c r="AF105" s="2562"/>
      <c r="AG105" s="2563"/>
      <c r="AH105" s="2563"/>
      <c r="AI105" s="2562"/>
      <c r="AJ105" s="2563"/>
      <c r="AK105" s="2563"/>
      <c r="AL105" s="2044"/>
      <c r="AM105" s="1879"/>
      <c r="AN105" s="1879"/>
      <c r="AO105" s="1879"/>
      <c r="AP105" s="1879"/>
      <c r="AQ105" s="1879"/>
      <c r="AR105" s="1879"/>
      <c r="AS105" s="1879"/>
      <c r="AT105" s="1879"/>
      <c r="AU105" s="1879"/>
      <c r="AV105" s="1879"/>
      <c r="AW105" s="1879"/>
      <c r="AX105" s="1879"/>
      <c r="AY105" s="1879"/>
      <c r="AZ105" s="1879"/>
      <c r="BA105" s="1879"/>
      <c r="BB105" s="1879"/>
      <c r="BC105" s="1879"/>
      <c r="BD105" s="1879"/>
      <c r="BE105" s="1879"/>
      <c r="BF105" s="1879"/>
    </row>
    <row r="107" s="13261" customFormat="1" customHeight="1" ht="11.25">
      <c r="A107" s="1871" t="s">
        <v>2065</v>
      </c>
    </row>
    <row customHeight="1" ht="17.25"/>
    <row s="12811" customFormat="1" customHeight="1" ht="21">
      <c r="A109" s="1223"/>
      <c r="B109" s="996"/>
      <c r="D109" s="980"/>
      <c r="E109" s="995" t="s">
        <v>28</v>
      </c>
      <c r="F109" s="1177">
        <f>INDEX(IP_MAIN_LIST_NAME_IP,MATCH(A109,IP_MAIN_LIST_IP_ID,0))&amp;" ("&amp;INDEX(IP_MAIN_START_DATE,MATCH(A109,IP_MAIN_LIST_IP_ID,0))&amp;"-"&amp;INDEX(IP_MAIN_END_DATE,MATCH(A109,IP_MAIN_LIST_IP_ID,0))&amp;")"</f>
      </c>
      <c r="G109" s="1259"/>
      <c r="H109" s="1260"/>
      <c r="I109" s="1260"/>
      <c r="J109" s="1260"/>
      <c r="K109" s="1260"/>
      <c r="L109" s="1260"/>
      <c r="M109" s="1260"/>
      <c r="N109" s="1260"/>
      <c r="O109" s="1259"/>
      <c r="P109" s="1259"/>
      <c r="Q109" s="1259"/>
      <c r="R109" s="1259"/>
      <c r="S109" s="1259"/>
      <c r="T109" s="1259"/>
      <c r="U109" s="1261"/>
      <c r="V109" s="1261"/>
      <c r="W109" s="1261"/>
      <c r="X109" s="1261"/>
      <c r="Y109" s="1261"/>
      <c r="Z109" s="1261"/>
      <c r="AA109" s="1261"/>
      <c r="AB109" s="1259"/>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c r="CB109" s="1260"/>
      <c r="CC109" s="1260"/>
      <c r="CD109" s="1260"/>
      <c r="CE109" s="1260"/>
      <c r="CF109" s="1260"/>
      <c r="CG109" s="1260"/>
      <c r="CH109" s="1260"/>
      <c r="CI109" s="1260"/>
      <c r="CJ109" s="1260"/>
      <c r="CK109" s="1260"/>
      <c r="CL109" s="1262"/>
      <c r="CM109" s="1262"/>
      <c r="CN109" s="1262"/>
      <c r="CO109" s="1262"/>
      <c r="CP109" s="1262"/>
      <c r="CQ109" s="1262"/>
      <c r="CR109" s="1262"/>
      <c r="CS109" s="1262"/>
      <c r="CT109" s="1262"/>
      <c r="CU109" s="1262"/>
      <c r="CV109" s="1262"/>
      <c r="CW109" s="1262"/>
      <c r="CX109" s="1262"/>
      <c r="CY109" s="1262"/>
      <c r="CZ109" s="1262"/>
      <c r="DA109" s="1262"/>
      <c r="DB109" s="1262"/>
      <c r="DC109" s="1262"/>
      <c r="DD109" s="1262"/>
      <c r="DE109" s="1262"/>
      <c r="DF109" s="1262"/>
      <c r="DG109" s="1262"/>
      <c r="DH109" s="1262"/>
      <c r="DI109" s="1262"/>
      <c r="DJ109" s="1262"/>
      <c r="DK109" s="1262"/>
      <c r="DL109" s="1262"/>
      <c r="DM109" s="1262"/>
      <c r="DN109" s="1262"/>
      <c r="DO109" s="1262"/>
      <c r="DP109" s="1262"/>
      <c r="DQ109" s="1262"/>
      <c r="DR109" s="1262"/>
      <c r="DS109" s="1262"/>
      <c r="DT109" s="1262"/>
      <c r="DU109" s="1262"/>
      <c r="DV109" s="1262"/>
      <c r="DW109" s="1262"/>
      <c r="DX109" s="1262"/>
      <c r="DY109" s="1262"/>
      <c r="DZ109" s="1262"/>
      <c r="EA109" s="1262"/>
      <c r="EB109" s="1262"/>
      <c r="EC109" s="1262"/>
      <c r="ED109" s="1262"/>
      <c r="EE109" s="1262"/>
      <c r="EF109" s="1262"/>
      <c r="EG109" s="1262"/>
      <c r="EH109" s="1262"/>
      <c r="EI109" s="1262"/>
      <c r="EJ109" s="1262"/>
      <c r="EK109" s="1262"/>
      <c r="EL109" s="1262"/>
      <c r="EM109" s="1262"/>
      <c r="EN109" s="1262"/>
      <c r="EO109" s="1262"/>
      <c r="EP109" s="1262"/>
      <c r="EQ109" s="1262"/>
      <c r="ER109" s="1262"/>
      <c r="ES109" s="1262"/>
      <c r="ET109" s="1262"/>
      <c r="EU109" s="1262"/>
      <c r="EV109" s="1262"/>
      <c r="EW109" s="1262"/>
      <c r="EX109" s="1262"/>
      <c r="EY109" s="1262"/>
      <c r="EZ109" s="1262"/>
      <c r="FA109" s="1262"/>
      <c r="FB109" s="1262"/>
      <c r="FC109" s="1262"/>
      <c r="FD109" s="1262"/>
      <c r="FE109" s="1262"/>
      <c r="FF109" s="1262"/>
      <c r="FG109" s="1262"/>
      <c r="FH109" s="1262"/>
      <c r="FI109" s="1262"/>
      <c r="FJ109" s="1262"/>
      <c r="FK109" s="1262"/>
      <c r="FL109" s="1262"/>
      <c r="FM109" s="1262"/>
      <c r="FN109" s="1262"/>
      <c r="FO109" s="1262"/>
      <c r="FP109" s="1262"/>
      <c r="FQ109" s="1262"/>
      <c r="FR109" s="1262"/>
      <c r="FS109" s="1262"/>
      <c r="FT109" s="1262"/>
      <c r="FU109" s="1262"/>
      <c r="FV109" s="1263"/>
      <c r="FW109" s="1257"/>
      <c r="FX109" s="1258"/>
    </row>
    <row s="12811" customFormat="1" customHeight="1" ht="24.75">
      <c r="B110" s="979"/>
      <c r="C110" s="980"/>
      <c r="D110" s="980"/>
      <c r="E110" s="1891"/>
      <c r="F110" s="1264">
        <v>1</v>
      </c>
      <c r="G110" s="1265"/>
      <c r="H110" s="1266"/>
      <c r="I110" s="2038"/>
      <c r="J110" s="1267"/>
      <c r="K110" s="1267"/>
      <c r="L110" s="1267"/>
      <c r="M110" s="1267"/>
      <c r="N110" s="1267"/>
      <c r="O110" s="1268"/>
      <c r="P110" s="1268"/>
      <c r="Q110" s="1268"/>
      <c r="R110" s="1268"/>
      <c r="S110" s="1268"/>
      <c r="T110" s="1268"/>
      <c r="U110" s="1268"/>
      <c r="V110" s="1268"/>
      <c r="W110" s="1268"/>
      <c r="X110" s="1268"/>
      <c r="Y110" s="1268"/>
      <c r="Z110" s="1268"/>
      <c r="AA110" s="1268"/>
      <c r="AB110" s="1268"/>
      <c r="AC110" s="1267"/>
      <c r="AD110" s="1267"/>
      <c r="AE110" s="1267"/>
      <c r="AF110" s="1267"/>
      <c r="AG110" s="1267"/>
      <c r="AH110" s="1267"/>
      <c r="AI110" s="1267"/>
      <c r="AJ110" s="1267"/>
      <c r="AK110" s="1267"/>
      <c r="AL110" s="1267"/>
      <c r="AM110" s="1267"/>
      <c r="AN110" s="1267"/>
      <c r="AO110" s="1267"/>
      <c r="AP110" s="1267"/>
      <c r="AQ110" s="1267"/>
      <c r="AR110" s="1267"/>
      <c r="AS110" s="1267"/>
      <c r="AT110" s="1267"/>
      <c r="AU110" s="1267"/>
      <c r="AV110" s="1267"/>
      <c r="AW110" s="1267"/>
      <c r="AX110" s="1267"/>
      <c r="AY110" s="1267"/>
      <c r="AZ110" s="1267"/>
      <c r="BA110" s="1267"/>
      <c r="BB110" s="1267"/>
      <c r="BC110" s="1267"/>
      <c r="BD110" s="1267"/>
      <c r="BE110" s="1267"/>
      <c r="BF110" s="1267"/>
      <c r="BG110" s="1267"/>
      <c r="BH110" s="1267"/>
      <c r="BI110" s="1267"/>
      <c r="BJ110" s="1267"/>
      <c r="BK110" s="1267"/>
      <c r="BL110" s="1267"/>
      <c r="BM110" s="1267"/>
      <c r="BN110" s="1267"/>
      <c r="BO110" s="1267"/>
      <c r="BP110" s="1267"/>
      <c r="BQ110" s="1267"/>
      <c r="BR110" s="1267"/>
      <c r="BS110" s="1267"/>
      <c r="BT110" s="1268"/>
      <c r="BU110" s="1268"/>
      <c r="BV110" s="1268"/>
      <c r="BW110" s="1268"/>
      <c r="BX110" s="1268"/>
      <c r="BY110" s="1268"/>
      <c r="BZ110" s="1268"/>
      <c r="CA110" s="1268"/>
      <c r="CB110" s="1268"/>
      <c r="CC110" s="1268"/>
      <c r="CD110" s="1268"/>
      <c r="CE110" s="1268"/>
      <c r="CF110" s="1268"/>
      <c r="CG110" s="1268"/>
      <c r="CH110" s="1268"/>
      <c r="CI110" s="1268"/>
      <c r="CJ110" s="1268"/>
      <c r="CK110" s="1268"/>
      <c r="CL110" s="1267"/>
      <c r="CM110" s="1267"/>
      <c r="CN110" s="1267"/>
      <c r="CO110" s="1267"/>
      <c r="CP110" s="1267"/>
      <c r="CQ110" s="1267"/>
      <c r="CR110" s="1267"/>
      <c r="CS110" s="1267"/>
      <c r="CT110" s="1267"/>
      <c r="CU110" s="1267"/>
      <c r="CV110" s="1267"/>
      <c r="CW110" s="1267"/>
      <c r="CX110" s="1267"/>
      <c r="CY110" s="1268"/>
      <c r="CZ110" s="1268"/>
      <c r="DA110" s="1268"/>
      <c r="DB110" s="1268"/>
      <c r="DC110" s="1268"/>
      <c r="DD110" s="1268"/>
      <c r="DE110" s="1268"/>
      <c r="DF110" s="1268"/>
      <c r="DG110" s="1268"/>
      <c r="DH110" s="1268"/>
      <c r="DI110" s="1268"/>
      <c r="DJ110" s="1268"/>
      <c r="DK110" s="1267"/>
      <c r="DL110" s="1267"/>
      <c r="DM110" s="1267"/>
      <c r="DN110" s="1267"/>
      <c r="DO110" s="1267"/>
      <c r="DP110" s="1267"/>
      <c r="DQ110" s="1267"/>
      <c r="DR110" s="1267"/>
      <c r="DS110" s="1267"/>
      <c r="DT110" s="1267"/>
      <c r="DU110" s="1267"/>
      <c r="DV110" s="1267"/>
      <c r="DW110" s="1267"/>
      <c r="DX110" s="1267"/>
      <c r="DY110" s="1267"/>
      <c r="DZ110" s="1267"/>
      <c r="EA110" s="1267"/>
      <c r="EB110" s="1267"/>
      <c r="EC110" s="1267"/>
      <c r="ED110" s="1267"/>
      <c r="EE110" s="1267"/>
      <c r="EF110" s="1267"/>
      <c r="EG110" s="1267"/>
      <c r="EH110" s="1267"/>
      <c r="EI110" s="1267"/>
      <c r="EJ110" s="1267"/>
      <c r="EK110" s="1267"/>
      <c r="EL110" s="1267"/>
      <c r="EM110" s="1267"/>
      <c r="EN110" s="1267"/>
      <c r="EO110" s="1267"/>
      <c r="EP110" s="1267"/>
      <c r="EQ110" s="1267"/>
      <c r="ER110" s="1267"/>
      <c r="ES110" s="1267"/>
      <c r="ET110" s="1267"/>
      <c r="EU110" s="1267"/>
      <c r="EV110" s="1267"/>
      <c r="EW110" s="1267"/>
      <c r="EX110" s="1267"/>
      <c r="EY110" s="1267"/>
      <c r="EZ110" s="1267"/>
      <c r="FA110" s="1267"/>
      <c r="FB110" s="1267"/>
      <c r="FC110" s="1267"/>
      <c r="FD110" s="1267"/>
      <c r="FE110" s="1267"/>
      <c r="FF110" s="1267"/>
      <c r="FG110" s="1267"/>
      <c r="FH110" s="1267"/>
      <c r="FI110" s="1267"/>
      <c r="FJ110" s="1267"/>
      <c r="FK110" s="1267"/>
      <c r="FL110" s="1267"/>
      <c r="FM110" s="1267"/>
      <c r="FN110" s="1267"/>
      <c r="FO110" s="1267"/>
      <c r="FP110" s="1267"/>
      <c r="FQ110" s="1267"/>
      <c r="FR110" s="1267"/>
      <c r="FS110" s="1267"/>
      <c r="FT110" s="1267"/>
      <c r="FU110" s="1267"/>
      <c r="FV110" s="1267"/>
      <c r="FW110" s="1267"/>
      <c r="FX110" s="1258"/>
    </row>
    <row s="12811" customFormat="1" customHeight="1" ht="12">
      <c r="A111" s="980"/>
      <c r="B111" s="979"/>
      <c r="C111" s="980"/>
      <c r="D111" s="980"/>
      <c r="E111" s="980"/>
      <c r="F111" s="1269"/>
      <c r="G111" s="1856" t="s">
        <v>2066</v>
      </c>
      <c r="H111" s="1270"/>
      <c r="I111" s="1270"/>
      <c r="J111" s="1270"/>
      <c r="K111" s="1270"/>
      <c r="L111" s="1270"/>
      <c r="M111" s="1270"/>
      <c r="N111" s="1270"/>
      <c r="O111" s="1270"/>
      <c r="P111" s="1270"/>
      <c r="Q111" s="1270"/>
      <c r="R111" s="1270"/>
      <c r="S111" s="1270"/>
      <c r="T111" s="1270"/>
      <c r="U111" s="1270"/>
      <c r="V111" s="1270"/>
      <c r="W111" s="1270"/>
      <c r="X111" s="1270"/>
      <c r="Y111" s="1270"/>
      <c r="Z111" s="1270"/>
      <c r="AA111" s="1270"/>
      <c r="AB111" s="1270"/>
      <c r="AC111" s="1270"/>
      <c r="AD111" s="1270"/>
      <c r="AE111" s="1270"/>
      <c r="AF111" s="1270"/>
      <c r="AG111" s="1270"/>
      <c r="AH111" s="1270"/>
      <c r="AI111" s="1270"/>
      <c r="AJ111" s="1270"/>
      <c r="AK111" s="1270"/>
      <c r="AL111" s="1270"/>
      <c r="AM111" s="1270"/>
      <c r="AN111" s="1270"/>
      <c r="AO111" s="1270"/>
      <c r="AP111" s="1270"/>
      <c r="AQ111" s="1270"/>
      <c r="AR111" s="1270"/>
      <c r="AS111" s="1270"/>
      <c r="AT111" s="1270"/>
      <c r="AU111" s="1270"/>
      <c r="AV111" s="1270"/>
      <c r="AW111" s="1270"/>
      <c r="AX111" s="1270"/>
      <c r="AY111" s="1270"/>
      <c r="AZ111" s="1270"/>
      <c r="BA111" s="1270"/>
      <c r="BB111" s="1270"/>
      <c r="BC111" s="1270"/>
      <c r="BD111" s="1270"/>
      <c r="BE111" s="1270"/>
      <c r="BF111" s="1270"/>
      <c r="BG111" s="1270"/>
      <c r="BH111" s="1270"/>
      <c r="BI111" s="1270"/>
      <c r="BJ111" s="1270"/>
      <c r="BK111" s="1270"/>
      <c r="BL111" s="1270"/>
      <c r="BM111" s="1270"/>
      <c r="BN111" s="1270"/>
      <c r="BO111" s="1270"/>
      <c r="BP111" s="1270"/>
      <c r="BQ111" s="1270"/>
      <c r="BR111" s="1270"/>
      <c r="BS111" s="1270"/>
      <c r="BT111" s="1270"/>
      <c r="BU111" s="1270"/>
      <c r="BV111" s="1270"/>
      <c r="BW111" s="1270"/>
      <c r="BX111" s="1270"/>
      <c r="BY111" s="1270"/>
      <c r="BZ111" s="1270"/>
      <c r="CA111" s="1270"/>
      <c r="CB111" s="1270"/>
      <c r="CC111" s="1270"/>
      <c r="CD111" s="1270"/>
      <c r="CE111" s="1270"/>
      <c r="CF111" s="1270"/>
      <c r="CG111" s="1270"/>
      <c r="CH111" s="1270"/>
      <c r="CI111" s="1270"/>
      <c r="CJ111" s="1270"/>
      <c r="CK111" s="1270"/>
      <c r="CL111" s="1270"/>
      <c r="CM111" s="1270"/>
      <c r="CN111" s="1270"/>
      <c r="CO111" s="1270"/>
      <c r="CP111" s="1270"/>
      <c r="CQ111" s="1270"/>
      <c r="CR111" s="1270"/>
      <c r="CS111" s="1270"/>
      <c r="CT111" s="1270"/>
      <c r="CU111" s="1270"/>
      <c r="CV111" s="1270"/>
      <c r="CW111" s="1270"/>
      <c r="CX111" s="1270"/>
      <c r="CY111" s="1270"/>
      <c r="CZ111" s="1270"/>
      <c r="DA111" s="1270"/>
      <c r="DB111" s="1270"/>
      <c r="DC111" s="1270"/>
      <c r="DD111" s="1270"/>
      <c r="DE111" s="1270"/>
      <c r="DF111" s="1270"/>
      <c r="DG111" s="1270"/>
      <c r="DH111" s="1270"/>
      <c r="DI111" s="1270"/>
      <c r="DJ111" s="1270"/>
      <c r="DK111" s="1270"/>
      <c r="DL111" s="1270"/>
      <c r="DM111" s="1270"/>
      <c r="DN111" s="1270"/>
      <c r="DO111" s="1270"/>
      <c r="DP111" s="1270"/>
      <c r="DQ111" s="1270"/>
      <c r="DR111" s="1270"/>
      <c r="DS111" s="1270"/>
      <c r="DT111" s="1270"/>
      <c r="DU111" s="1270"/>
      <c r="DV111" s="1270"/>
      <c r="DW111" s="1270"/>
      <c r="DX111" s="1270"/>
      <c r="DY111" s="1270"/>
      <c r="DZ111" s="1270"/>
      <c r="EA111" s="1270"/>
      <c r="EB111" s="1270"/>
      <c r="EC111" s="1270"/>
      <c r="ED111" s="1270"/>
      <c r="EE111" s="1270"/>
      <c r="EF111" s="1270"/>
      <c r="EG111" s="1270"/>
      <c r="EH111" s="1270"/>
      <c r="EI111" s="1270"/>
      <c r="EJ111" s="1270"/>
      <c r="EK111" s="1270"/>
      <c r="EL111" s="1270"/>
      <c r="EM111" s="1270"/>
      <c r="EN111" s="1270"/>
      <c r="EO111" s="1270"/>
      <c r="EP111" s="1270"/>
      <c r="EQ111" s="1270"/>
      <c r="ER111" s="1270"/>
      <c r="ES111" s="1270"/>
      <c r="ET111" s="1270"/>
      <c r="EU111" s="1270"/>
      <c r="EV111" s="1270"/>
      <c r="EW111" s="1270"/>
      <c r="EX111" s="1270"/>
      <c r="EY111" s="1270"/>
      <c r="EZ111" s="1270"/>
      <c r="FA111" s="1270"/>
      <c r="FB111" s="1270"/>
      <c r="FC111" s="1270"/>
      <c r="FD111" s="1270"/>
      <c r="FE111" s="1270"/>
      <c r="FF111" s="1270"/>
      <c r="FG111" s="1270"/>
      <c r="FH111" s="1270"/>
      <c r="FI111" s="1270"/>
      <c r="FJ111" s="1270"/>
      <c r="FK111" s="1270"/>
      <c r="FL111" s="1270"/>
      <c r="FM111" s="1270"/>
      <c r="FN111" s="1270"/>
      <c r="FO111" s="1270"/>
      <c r="FP111" s="1270"/>
      <c r="FQ111" s="1270"/>
      <c r="FR111" s="1270"/>
      <c r="FS111" s="1270"/>
      <c r="FT111" s="1270"/>
      <c r="FU111" s="1270"/>
      <c r="FV111" s="1270"/>
      <c r="FW111" s="1271"/>
      <c r="FX111" s="1272"/>
      <c r="FY111" s="997"/>
      <c r="FZ111" s="997"/>
      <c r="GA111" s="997"/>
      <c r="GB111" s="997"/>
    </row>
    <row r="113" s="13261" customFormat="1" customHeight="1" ht="11.25">
      <c r="A113" s="1871" t="s">
        <v>2067</v>
      </c>
    </row>
    <row r="115" s="2911" customFormat="1" customHeight="1" ht="15">
      <c r="A115" s="679"/>
      <c r="B115" s="680"/>
      <c r="C115" s="680"/>
      <c r="D115" s="2634" t="s">
        <v>191</v>
      </c>
      <c r="E115" s="2433" t="s">
        <v>187</v>
      </c>
      <c r="F115" s="2434"/>
      <c r="G115" s="2435"/>
      <c r="H115" s="2439" t="str">
        <f>IF(A115="","",INDEX(DIFFERENTIATION_UNMERGE_VD,MATCH(A115,DIFFERENTIATION_ID_DIFF,0)))</f>
        <v/>
      </c>
      <c r="I115" s="2439"/>
      <c r="J115" s="2439"/>
      <c r="K115" s="2439"/>
      <c r="L115" s="2439"/>
      <c r="M115" s="2439"/>
      <c r="N115" s="2439"/>
      <c r="O115" s="2439"/>
      <c r="P115" s="2439"/>
      <c r="Q115" s="2439"/>
      <c r="R115" s="2439"/>
      <c r="S115" s="775"/>
      <c r="T115" s="772"/>
      <c r="U115" s="681"/>
      <c r="V115" s="681"/>
      <c r="W115" s="682"/>
      <c r="X115" s="682"/>
      <c r="Y115" s="682"/>
      <c r="Z115" s="682"/>
      <c r="AA115" s="683"/>
      <c r="AB115" s="684"/>
      <c r="AC115" s="2431"/>
      <c r="AD115" s="685"/>
      <c r="AE115" s="686" t="s">
        <v>28</v>
      </c>
      <c r="AF115" s="686"/>
      <c r="AG115" s="687" t="s">
        <v>742</v>
      </c>
      <c r="AH115" s="688">
        <v>3</v>
      </c>
      <c r="AI115" s="681"/>
      <c r="AJ115" s="681"/>
      <c r="AK115" s="681"/>
      <c r="AL115" s="681"/>
      <c r="AM115" s="681"/>
      <c r="AN115" s="681"/>
      <c r="AO115" s="681"/>
      <c r="AP115" s="681"/>
      <c r="AQ115" s="681"/>
      <c r="AR115" s="681"/>
      <c r="AS115" s="681"/>
      <c r="AT115" s="681"/>
      <c r="AU115" s="681"/>
      <c r="AV115" s="681"/>
      <c r="AW115" s="681"/>
      <c r="AX115" s="681"/>
      <c r="AY115" s="681"/>
      <c r="AZ115" s="681"/>
      <c r="BA115" s="681"/>
      <c r="BB115" s="681"/>
      <c r="BC115" s="681"/>
      <c r="BD115" s="681"/>
      <c r="BE115" s="681"/>
      <c r="BF115" s="681"/>
      <c r="BG115" s="681"/>
      <c r="BH115" s="681"/>
      <c r="BI115" s="681"/>
      <c r="BJ115" s="681"/>
      <c r="BK115" s="681"/>
      <c r="BL115" s="681"/>
      <c r="BM115" s="681"/>
      <c r="BN115" s="681"/>
      <c r="BO115" s="681"/>
      <c r="BP115" s="681"/>
      <c r="BQ115" s="681"/>
      <c r="BR115" s="681"/>
      <c r="BS115" s="681"/>
      <c r="BT115" s="681"/>
      <c r="BU115" s="681"/>
      <c r="BV115" s="682"/>
      <c r="BW115" s="682"/>
      <c r="BX115" s="682"/>
      <c r="BY115" s="682"/>
      <c r="BZ115" s="682"/>
      <c r="CA115" s="682"/>
      <c r="CB115" s="682"/>
      <c r="CC115" s="682"/>
      <c r="CD115" s="682"/>
      <c r="CE115" s="682"/>
    </row>
    <row s="2911" customFormat="1" customHeight="1" ht="15">
      <c r="A116" s="679"/>
      <c r="B116" s="680"/>
      <c r="C116" s="680"/>
      <c r="D116" s="2635"/>
      <c r="E116" s="2433" t="s">
        <v>697</v>
      </c>
      <c r="F116" s="2434"/>
      <c r="G116" s="2435"/>
      <c r="H116" s="2439" t="str">
        <f>IF(A115="","",INDEX(DIFFERENTIATION_UNMERGE_AREA,MATCH(A115,DIFFERENTIATION_ID_DIFF,0)))</f>
        <v/>
      </c>
      <c r="I116" s="2439"/>
      <c r="J116" s="2439"/>
      <c r="K116" s="2439"/>
      <c r="L116" s="2439"/>
      <c r="M116" s="2439"/>
      <c r="N116" s="2439"/>
      <c r="O116" s="2439"/>
      <c r="P116" s="2439"/>
      <c r="Q116" s="2439"/>
      <c r="R116" s="2439"/>
      <c r="S116" s="775"/>
      <c r="T116" s="772"/>
      <c r="U116" s="681"/>
      <c r="V116" s="681"/>
      <c r="W116" s="682"/>
      <c r="X116" s="682"/>
      <c r="Y116" s="682"/>
      <c r="Z116" s="682"/>
      <c r="AA116" s="683"/>
      <c r="AB116" s="684"/>
      <c r="AC116" s="2431"/>
      <c r="AD116" s="685"/>
      <c r="AE116" s="686"/>
      <c r="AF116" s="686"/>
      <c r="AG116" s="687"/>
      <c r="AH116" s="688"/>
      <c r="AI116" s="681"/>
      <c r="AJ116" s="681"/>
      <c r="AK116" s="681"/>
      <c r="AL116" s="681"/>
      <c r="AM116" s="681"/>
      <c r="AN116" s="681"/>
      <c r="AO116" s="681"/>
      <c r="AP116" s="681"/>
      <c r="AQ116" s="681"/>
      <c r="AR116" s="681"/>
      <c r="AS116" s="681"/>
      <c r="AT116" s="681"/>
      <c r="AU116" s="681"/>
      <c r="AV116" s="681"/>
      <c r="AW116" s="681"/>
      <c r="AX116" s="681"/>
      <c r="AY116" s="681"/>
      <c r="AZ116" s="681"/>
      <c r="BA116" s="681"/>
      <c r="BB116" s="681"/>
      <c r="BC116" s="681"/>
      <c r="BD116" s="681"/>
      <c r="BE116" s="681"/>
      <c r="BF116" s="681"/>
      <c r="BG116" s="681"/>
      <c r="BH116" s="681"/>
      <c r="BI116" s="681"/>
      <c r="BJ116" s="681"/>
      <c r="BK116" s="681"/>
      <c r="BL116" s="681"/>
      <c r="BM116" s="681"/>
      <c r="BN116" s="681"/>
      <c r="BO116" s="681"/>
      <c r="BP116" s="681"/>
      <c r="BQ116" s="681"/>
      <c r="BR116" s="681"/>
      <c r="BS116" s="681"/>
      <c r="BT116" s="681"/>
      <c r="BU116" s="681"/>
      <c r="BV116" s="682"/>
      <c r="BW116" s="682"/>
      <c r="BX116" s="682"/>
      <c r="BY116" s="682"/>
      <c r="BZ116" s="682"/>
      <c r="CA116" s="682"/>
      <c r="CB116" s="682"/>
      <c r="CC116" s="682"/>
      <c r="CD116" s="682"/>
      <c r="CE116" s="682"/>
    </row>
    <row s="2911" customFormat="1" customHeight="1" ht="15">
      <c r="A117" s="679"/>
      <c r="B117" s="680"/>
      <c r="C117" s="680"/>
      <c r="D117" s="2635"/>
      <c r="E117" s="2433" t="s">
        <v>698</v>
      </c>
      <c r="F117" s="2434"/>
      <c r="G117" s="2435"/>
      <c r="H117" s="2439" t="str">
        <f>IF(A115="","",INDEX(DIFFERENTIATION_UNMERGE_SYSTEM,MATCH(A115,DIFFERENTIATION_ID_DIFF,0)))</f>
        <v/>
      </c>
      <c r="I117" s="2439"/>
      <c r="J117" s="2439"/>
      <c r="K117" s="2439"/>
      <c r="L117" s="2439"/>
      <c r="M117" s="2439"/>
      <c r="N117" s="2439"/>
      <c r="O117" s="2439"/>
      <c r="P117" s="2439"/>
      <c r="Q117" s="2439"/>
      <c r="R117" s="2439"/>
      <c r="S117" s="775"/>
      <c r="T117" s="772"/>
      <c r="U117" s="681"/>
      <c r="V117" s="681"/>
      <c r="W117" s="682"/>
      <c r="X117" s="682"/>
      <c r="Y117" s="682"/>
      <c r="Z117" s="682"/>
      <c r="AA117" s="683"/>
      <c r="AB117" s="684"/>
      <c r="AC117" s="2431"/>
      <c r="AD117" s="685"/>
      <c r="AE117" s="686"/>
      <c r="AF117" s="686"/>
      <c r="AG117" s="687"/>
      <c r="AH117" s="688"/>
      <c r="AI117" s="681"/>
      <c r="AJ117" s="681"/>
      <c r="AK117" s="681"/>
      <c r="AL117" s="681"/>
      <c r="AM117" s="681"/>
      <c r="AN117" s="681"/>
      <c r="AO117" s="681"/>
      <c r="AP117" s="681"/>
      <c r="AQ117" s="681"/>
      <c r="AR117" s="681"/>
      <c r="AS117" s="681"/>
      <c r="AT117" s="681"/>
      <c r="AU117" s="681"/>
      <c r="AV117" s="681"/>
      <c r="AW117" s="681"/>
      <c r="AX117" s="681"/>
      <c r="AY117" s="681"/>
      <c r="AZ117" s="681"/>
      <c r="BA117" s="681"/>
      <c r="BB117" s="681"/>
      <c r="BC117" s="681"/>
      <c r="BD117" s="681"/>
      <c r="BE117" s="681"/>
      <c r="BF117" s="681"/>
      <c r="BG117" s="681"/>
      <c r="BH117" s="681"/>
      <c r="BI117" s="681"/>
      <c r="BJ117" s="681"/>
      <c r="BK117" s="681"/>
      <c r="BL117" s="681"/>
      <c r="BM117" s="681"/>
      <c r="BN117" s="681"/>
      <c r="BO117" s="681"/>
      <c r="BP117" s="681"/>
      <c r="BQ117" s="681"/>
      <c r="BR117" s="681"/>
      <c r="BS117" s="681"/>
      <c r="BT117" s="681"/>
      <c r="BU117" s="681"/>
      <c r="BV117" s="682"/>
      <c r="BW117" s="682"/>
      <c r="BX117" s="682"/>
      <c r="BY117" s="682"/>
      <c r="BZ117" s="682"/>
      <c r="CA117" s="682"/>
      <c r="CB117" s="682"/>
      <c r="CC117" s="682"/>
      <c r="CD117" s="682"/>
      <c r="CE117" s="682"/>
    </row>
    <row s="2911" customFormat="1" customHeight="1" ht="24.75">
      <c r="A118" s="1862"/>
      <c r="B118" s="1216"/>
      <c r="C118" s="468"/>
      <c r="D118" s="2635"/>
      <c r="E118" s="2432" t="s">
        <v>743</v>
      </c>
      <c r="F118" s="2432"/>
      <c r="G118" s="2432"/>
      <c r="H118" s="2432"/>
      <c r="I118" s="2432"/>
      <c r="J118" s="2432"/>
      <c r="K118" s="2432"/>
      <c r="L118" s="2432"/>
      <c r="M118" s="2432"/>
      <c r="N118" s="2432"/>
      <c r="O118" s="2432"/>
      <c r="P118" s="2432"/>
      <c r="Q118" s="614">
        <f>SUMIF(T119:T120,"i",Q119:Q120)</f>
        <v>0</v>
      </c>
      <c r="R118" s="1073"/>
      <c r="S118" s="1854" t="s">
        <v>744</v>
      </c>
      <c r="T118" s="773" t="s">
        <v>745</v>
      </c>
      <c r="U118" s="2430">
        <v>1</v>
      </c>
      <c r="V118" s="2430" t="s">
        <v>708</v>
      </c>
      <c r="W118" s="1216"/>
      <c r="X118" s="1216"/>
      <c r="Y118" s="1216"/>
      <c r="Z118" s="1216"/>
      <c r="AA118" s="1692"/>
      <c r="AB118" s="1216"/>
      <c r="AC118" s="2431"/>
      <c r="AD118" s="685"/>
      <c r="AE118" s="1216"/>
      <c r="AF118" s="1216"/>
      <c r="AG118" s="1692"/>
      <c r="AH118" s="1692"/>
      <c r="AI118" s="1692"/>
      <c r="AJ118" s="1692"/>
      <c r="AK118" s="1692"/>
      <c r="AL118" s="1692"/>
      <c r="AM118" s="1692"/>
      <c r="AN118" s="1692"/>
      <c r="AO118" s="1692"/>
      <c r="AP118" s="1692"/>
      <c r="AQ118" s="1692"/>
      <c r="AR118" s="1692"/>
      <c r="AS118" s="1692"/>
      <c r="AT118" s="1692"/>
      <c r="AU118" s="1692"/>
      <c r="AV118" s="1692"/>
      <c r="AW118" s="1692"/>
      <c r="AX118" s="1692"/>
      <c r="AY118" s="1692"/>
      <c r="AZ118" s="1692"/>
      <c r="BA118" s="1692"/>
      <c r="BB118" s="1692"/>
      <c r="BC118" s="1692"/>
      <c r="BD118" s="1692"/>
      <c r="BE118" s="1692"/>
      <c r="BF118" s="1692"/>
      <c r="BG118" s="1692"/>
      <c r="BH118" s="1692"/>
      <c r="BI118" s="1692"/>
      <c r="BJ118" s="1692"/>
      <c r="BK118" s="1692"/>
      <c r="BL118" s="1692"/>
      <c r="BM118" s="1692"/>
      <c r="BN118" s="1692"/>
      <c r="BO118" s="1692"/>
      <c r="BP118" s="1692"/>
      <c r="BQ118" s="1692"/>
      <c r="BR118" s="1692"/>
      <c r="BS118" s="1692"/>
      <c r="BT118" s="1692"/>
      <c r="BU118" s="1692"/>
      <c r="BV118" s="1216"/>
      <c r="BW118" s="1216"/>
      <c r="BX118" s="1216"/>
      <c r="BY118" s="1216"/>
      <c r="BZ118" s="1216"/>
      <c r="CA118" s="1216"/>
      <c r="CB118" s="1216"/>
      <c r="CC118" s="1216"/>
      <c r="CD118" s="1216"/>
      <c r="CE118" s="1216"/>
    </row>
    <row s="2911" customFormat="1" customHeight="1" ht="11.25" hidden="1">
      <c r="A119" s="1849"/>
      <c r="B119" s="1692"/>
      <c r="C119" s="1692"/>
      <c r="D119" s="2635"/>
      <c r="E119" s="691"/>
      <c r="F119" s="691">
        <v>0</v>
      </c>
      <c r="G119" s="691"/>
      <c r="H119" s="691"/>
      <c r="I119" s="691"/>
      <c r="J119" s="691"/>
      <c r="K119" s="691"/>
      <c r="L119" s="691"/>
      <c r="M119" s="691"/>
      <c r="N119" s="691"/>
      <c r="O119" s="691"/>
      <c r="P119" s="691"/>
      <c r="Q119" s="691"/>
      <c r="R119" s="691"/>
      <c r="S119" s="692"/>
      <c r="T119" s="774"/>
      <c r="U119" s="2430"/>
      <c r="V119" s="2430"/>
      <c r="W119" s="1692"/>
      <c r="X119" s="1692"/>
      <c r="Y119" s="1692"/>
      <c r="Z119" s="1692"/>
      <c r="AA119" s="1692"/>
      <c r="AB119" s="1216"/>
      <c r="AC119" s="2431"/>
      <c r="AD119" s="685"/>
      <c r="AE119" s="1216"/>
      <c r="AF119" s="1216"/>
      <c r="AG119" s="1692"/>
      <c r="AH119" s="1692"/>
      <c r="AI119" s="1692"/>
      <c r="AJ119" s="1692"/>
      <c r="AK119" s="1692"/>
      <c r="AL119" s="1692"/>
      <c r="AM119" s="1692"/>
      <c r="AN119" s="1692"/>
      <c r="AO119" s="1692"/>
      <c r="AP119" s="1692"/>
      <c r="AQ119" s="1692"/>
      <c r="AR119" s="1692"/>
      <c r="AS119" s="1692"/>
      <c r="AT119" s="1692"/>
      <c r="AU119" s="1692"/>
      <c r="AV119" s="1692"/>
      <c r="AW119" s="1692"/>
      <c r="AX119" s="1692"/>
      <c r="AY119" s="1692"/>
      <c r="AZ119" s="1692"/>
      <c r="BA119" s="1692"/>
      <c r="BB119" s="1692"/>
      <c r="BC119" s="1692"/>
      <c r="BD119" s="1692"/>
      <c r="BE119" s="1692"/>
      <c r="BF119" s="1692"/>
      <c r="BG119" s="1692"/>
      <c r="BH119" s="1692"/>
      <c r="BI119" s="1692"/>
      <c r="BJ119" s="1692"/>
      <c r="BK119" s="1692"/>
      <c r="BL119" s="1692"/>
      <c r="BM119" s="1692"/>
      <c r="BN119" s="1692"/>
      <c r="BO119" s="1692"/>
      <c r="BP119" s="1692"/>
      <c r="BQ119" s="1692"/>
      <c r="BR119" s="1692"/>
      <c r="BS119" s="1692"/>
      <c r="BT119" s="1692"/>
      <c r="BU119" s="1692"/>
      <c r="BV119" s="1692"/>
      <c r="BW119" s="1692"/>
      <c r="BX119" s="1692"/>
      <c r="BY119" s="1692"/>
      <c r="BZ119" s="1692"/>
      <c r="CA119" s="1692"/>
      <c r="CB119" s="1692"/>
      <c r="CC119" s="1692"/>
      <c r="CD119" s="1692"/>
      <c r="CE119" s="1692"/>
    </row>
    <row s="2911" customFormat="1" customHeight="1" ht="11.25">
      <c r="A120" s="1862"/>
      <c r="B120" s="1216"/>
      <c r="C120" s="468"/>
      <c r="D120" s="2635"/>
      <c r="E120" s="705" t="s">
        <v>28</v>
      </c>
      <c r="F120" s="1224" t="s">
        <v>28</v>
      </c>
      <c r="G120" s="1224" t="s">
        <v>2068</v>
      </c>
      <c r="H120" s="707" t="s">
        <v>28</v>
      </c>
      <c r="I120" s="707"/>
      <c r="J120" s="707"/>
      <c r="K120" s="707"/>
      <c r="L120" s="707"/>
      <c r="M120" s="707"/>
      <c r="N120" s="707"/>
      <c r="O120" s="707"/>
      <c r="P120" s="707"/>
      <c r="Q120" s="707"/>
      <c r="R120" s="708"/>
      <c r="S120" s="709"/>
      <c r="T120" s="774"/>
      <c r="U120" s="2430"/>
      <c r="V120" s="2430"/>
      <c r="W120" s="1216"/>
      <c r="X120" s="1216"/>
      <c r="Y120" s="1216"/>
      <c r="Z120" s="1216"/>
      <c r="AA120" s="1692"/>
      <c r="AB120" s="1216"/>
      <c r="AC120" s="2431"/>
      <c r="AD120" s="685"/>
      <c r="AE120" s="1216"/>
      <c r="AF120" s="1216"/>
      <c r="AG120" s="1692"/>
      <c r="AH120" s="1692"/>
      <c r="AI120" s="1692"/>
      <c r="AJ120" s="1692"/>
      <c r="AK120" s="1692"/>
      <c r="AL120" s="1692"/>
      <c r="AM120" s="1692"/>
      <c r="AN120" s="1692"/>
      <c r="AO120" s="1692"/>
      <c r="AP120" s="1692"/>
      <c r="AQ120" s="1692"/>
      <c r="AR120" s="1692"/>
      <c r="AS120" s="1692"/>
      <c r="AT120" s="1692"/>
      <c r="AU120" s="1692"/>
      <c r="AV120" s="1692"/>
      <c r="AW120" s="1692"/>
      <c r="AX120" s="1692"/>
      <c r="AY120" s="1692"/>
      <c r="AZ120" s="1692"/>
      <c r="BA120" s="1692"/>
      <c r="BB120" s="1692"/>
      <c r="BC120" s="1692"/>
      <c r="BD120" s="1692"/>
      <c r="BE120" s="1692"/>
      <c r="BF120" s="1692"/>
      <c r="BG120" s="1692"/>
      <c r="BH120" s="1692"/>
      <c r="BI120" s="1692"/>
      <c r="BJ120" s="1692"/>
      <c r="BK120" s="1692"/>
      <c r="BL120" s="1692"/>
      <c r="BM120" s="1692"/>
      <c r="BN120" s="1692"/>
      <c r="BO120" s="1692"/>
      <c r="BP120" s="1692"/>
      <c r="BQ120" s="1692"/>
      <c r="BR120" s="1692"/>
      <c r="BS120" s="1692"/>
      <c r="BT120" s="1692"/>
      <c r="BU120" s="1692"/>
      <c r="BV120" s="1216"/>
      <c r="BW120" s="1216"/>
      <c r="BX120" s="1216"/>
      <c r="BY120" s="1216"/>
      <c r="BZ120" s="1216"/>
      <c r="CA120" s="1216"/>
      <c r="CB120" s="1216"/>
      <c r="CC120" s="1216"/>
      <c r="CD120" s="1216"/>
      <c r="CE120" s="1216"/>
    </row>
    <row s="2911" customFormat="1" customHeight="1" ht="24.75">
      <c r="A121" s="1862"/>
      <c r="B121" s="1216"/>
      <c r="C121" s="468"/>
      <c r="D121" s="2635"/>
      <c r="E121" s="2432" t="s">
        <v>746</v>
      </c>
      <c r="F121" s="2432"/>
      <c r="G121" s="2432"/>
      <c r="H121" s="2432"/>
      <c r="I121" s="2432"/>
      <c r="J121" s="2432"/>
      <c r="K121" s="2432"/>
      <c r="L121" s="2432"/>
      <c r="M121" s="2432"/>
      <c r="N121" s="2432"/>
      <c r="O121" s="2432"/>
      <c r="P121" s="2432"/>
      <c r="Q121" s="614">
        <f>SUMIF(T122:T123,"i",Q122:Q123)</f>
        <v>0</v>
      </c>
      <c r="R121" s="1073"/>
      <c r="S121" s="1854" t="s">
        <v>747</v>
      </c>
      <c r="T121" s="773" t="s">
        <v>745</v>
      </c>
      <c r="U121" s="2430">
        <v>1</v>
      </c>
      <c r="V121" s="2430" t="s">
        <v>708</v>
      </c>
      <c r="W121" s="1216"/>
      <c r="X121" s="1216"/>
      <c r="Y121" s="1216"/>
      <c r="Z121" s="1216"/>
      <c r="AA121" s="1692"/>
      <c r="AB121" s="1216"/>
      <c r="AC121" s="1852"/>
      <c r="AD121" s="685"/>
      <c r="AE121" s="1216"/>
      <c r="AF121" s="1216"/>
      <c r="AG121" s="1692"/>
      <c r="AH121" s="1692"/>
      <c r="AI121" s="1692"/>
      <c r="AJ121" s="1692"/>
      <c r="AK121" s="1692"/>
      <c r="AL121" s="1692"/>
      <c r="AM121" s="1692"/>
      <c r="AN121" s="1692"/>
      <c r="AO121" s="1692"/>
      <c r="AP121" s="1692"/>
      <c r="AQ121" s="1692"/>
      <c r="AR121" s="1692"/>
      <c r="AS121" s="1692"/>
      <c r="AT121" s="1692"/>
      <c r="AU121" s="1692"/>
      <c r="AV121" s="1692"/>
      <c r="AW121" s="1692"/>
      <c r="AX121" s="1692"/>
      <c r="AY121" s="1692"/>
      <c r="AZ121" s="1692"/>
      <c r="BA121" s="1692"/>
      <c r="BB121" s="1692"/>
      <c r="BC121" s="1692"/>
      <c r="BD121" s="1692"/>
      <c r="BE121" s="1692"/>
      <c r="BF121" s="1692"/>
      <c r="BG121" s="1692"/>
      <c r="BH121" s="1692"/>
      <c r="BI121" s="1692"/>
      <c r="BJ121" s="1692"/>
      <c r="BK121" s="1692"/>
      <c r="BL121" s="1692"/>
      <c r="BM121" s="1692"/>
      <c r="BN121" s="1692"/>
      <c r="BO121" s="1692"/>
      <c r="BP121" s="1692"/>
      <c r="BQ121" s="1692"/>
      <c r="BR121" s="1692"/>
      <c r="BS121" s="1692"/>
      <c r="BT121" s="1692"/>
      <c r="BU121" s="1692"/>
      <c r="BV121" s="1216"/>
      <c r="BW121" s="1216"/>
      <c r="BX121" s="1216"/>
      <c r="BY121" s="1216"/>
      <c r="BZ121" s="1216"/>
      <c r="CA121" s="1216"/>
      <c r="CB121" s="1216"/>
      <c r="CC121" s="1216"/>
      <c r="CD121" s="1216"/>
      <c r="CE121" s="1216"/>
    </row>
    <row s="2911" customFormat="1" customHeight="1" ht="11.25" hidden="1">
      <c r="A122" s="1849"/>
      <c r="B122" s="1692"/>
      <c r="C122" s="1692"/>
      <c r="D122" s="2635"/>
      <c r="E122" s="691"/>
      <c r="F122" s="691">
        <v>0</v>
      </c>
      <c r="G122" s="691"/>
      <c r="H122" s="691"/>
      <c r="I122" s="691"/>
      <c r="J122" s="691"/>
      <c r="K122" s="691"/>
      <c r="L122" s="691"/>
      <c r="M122" s="691"/>
      <c r="N122" s="691"/>
      <c r="O122" s="691"/>
      <c r="P122" s="691"/>
      <c r="Q122" s="691"/>
      <c r="R122" s="691"/>
      <c r="S122" s="692"/>
      <c r="T122" s="774"/>
      <c r="U122" s="2430"/>
      <c r="V122" s="2430"/>
      <c r="W122" s="1692"/>
      <c r="X122" s="1692"/>
      <c r="Y122" s="1692"/>
      <c r="Z122" s="1692"/>
      <c r="AA122" s="1692"/>
      <c r="AB122" s="1216"/>
      <c r="AC122" s="1852"/>
      <c r="AD122" s="685"/>
      <c r="AE122" s="1216"/>
      <c r="AF122" s="1216"/>
      <c r="AG122" s="1692"/>
      <c r="AH122" s="1692"/>
      <c r="AI122" s="1692"/>
      <c r="AJ122" s="1692"/>
      <c r="AK122" s="1692"/>
      <c r="AL122" s="1692"/>
      <c r="AM122" s="1692"/>
      <c r="AN122" s="1692"/>
      <c r="AO122" s="1692"/>
      <c r="AP122" s="1692"/>
      <c r="AQ122" s="1692"/>
      <c r="AR122" s="1692"/>
      <c r="AS122" s="1692"/>
      <c r="AT122" s="1692"/>
      <c r="AU122" s="1692"/>
      <c r="AV122" s="1692"/>
      <c r="AW122" s="1692"/>
      <c r="AX122" s="1692"/>
      <c r="AY122" s="1692"/>
      <c r="AZ122" s="1692"/>
      <c r="BA122" s="1692"/>
      <c r="BB122" s="1692"/>
      <c r="BC122" s="1692"/>
      <c r="BD122" s="1692"/>
      <c r="BE122" s="1692"/>
      <c r="BF122" s="1692"/>
      <c r="BG122" s="1692"/>
      <c r="BH122" s="1692"/>
      <c r="BI122" s="1692"/>
      <c r="BJ122" s="1692"/>
      <c r="BK122" s="1692"/>
      <c r="BL122" s="1692"/>
      <c r="BM122" s="1692"/>
      <c r="BN122" s="1692"/>
      <c r="BO122" s="1692"/>
      <c r="BP122" s="1692"/>
      <c r="BQ122" s="1692"/>
      <c r="BR122" s="1692"/>
      <c r="BS122" s="1692"/>
      <c r="BT122" s="1692"/>
      <c r="BU122" s="1692"/>
      <c r="BV122" s="1692"/>
      <c r="BW122" s="1692"/>
      <c r="BX122" s="1692"/>
      <c r="BY122" s="1692"/>
      <c r="BZ122" s="1692"/>
      <c r="CA122" s="1692"/>
      <c r="CB122" s="1692"/>
      <c r="CC122" s="1692"/>
      <c r="CD122" s="1692"/>
      <c r="CE122" s="1692"/>
    </row>
    <row s="2911" customFormat="1" customHeight="1" ht="11.25">
      <c r="A123" s="1862"/>
      <c r="B123" s="1216"/>
      <c r="C123" s="468"/>
      <c r="D123" s="2636"/>
      <c r="E123" s="705" t="s">
        <v>28</v>
      </c>
      <c r="F123" s="1224" t="s">
        <v>28</v>
      </c>
      <c r="G123" s="1224" t="s">
        <v>2068</v>
      </c>
      <c r="H123" s="707" t="s">
        <v>28</v>
      </c>
      <c r="I123" s="707"/>
      <c r="J123" s="707"/>
      <c r="K123" s="707"/>
      <c r="L123" s="707"/>
      <c r="M123" s="707"/>
      <c r="N123" s="707"/>
      <c r="O123" s="707"/>
      <c r="P123" s="707"/>
      <c r="Q123" s="707"/>
      <c r="R123" s="708"/>
      <c r="S123" s="709"/>
      <c r="T123" s="774"/>
      <c r="U123" s="2430"/>
      <c r="V123" s="2430"/>
      <c r="W123" s="1216"/>
      <c r="X123" s="1216"/>
      <c r="Y123" s="1216"/>
      <c r="Z123" s="1216"/>
      <c r="AA123" s="1692"/>
      <c r="AB123" s="1216"/>
      <c r="AC123" s="1852"/>
      <c r="AD123" s="685"/>
      <c r="AE123" s="1216"/>
      <c r="AF123" s="1216"/>
      <c r="AG123" s="1692"/>
      <c r="AH123" s="1692"/>
      <c r="AI123" s="1692"/>
      <c r="AJ123" s="1692"/>
      <c r="AK123" s="1692"/>
      <c r="AL123" s="1692"/>
      <c r="AM123" s="1692"/>
      <c r="AN123" s="1692"/>
      <c r="AO123" s="1692"/>
      <c r="AP123" s="1692"/>
      <c r="AQ123" s="1692"/>
      <c r="AR123" s="1692"/>
      <c r="AS123" s="1692"/>
      <c r="AT123" s="1692"/>
      <c r="AU123" s="1692"/>
      <c r="AV123" s="1692"/>
      <c r="AW123" s="1692"/>
      <c r="AX123" s="1692"/>
      <c r="AY123" s="1692"/>
      <c r="AZ123" s="1692"/>
      <c r="BA123" s="1692"/>
      <c r="BB123" s="1692"/>
      <c r="BC123" s="1692"/>
      <c r="BD123" s="1692"/>
      <c r="BE123" s="1692"/>
      <c r="BF123" s="1692"/>
      <c r="BG123" s="1692"/>
      <c r="BH123" s="1692"/>
      <c r="BI123" s="1692"/>
      <c r="BJ123" s="1692"/>
      <c r="BK123" s="1692"/>
      <c r="BL123" s="1692"/>
      <c r="BM123" s="1692"/>
      <c r="BN123" s="1692"/>
      <c r="BO123" s="1692"/>
      <c r="BP123" s="1692"/>
      <c r="BQ123" s="1692"/>
      <c r="BR123" s="1692"/>
      <c r="BS123" s="1692"/>
      <c r="BT123" s="1692"/>
      <c r="BU123" s="1692"/>
      <c r="BV123" s="1216"/>
      <c r="BW123" s="1216"/>
      <c r="BX123" s="1216"/>
      <c r="BY123" s="1216"/>
      <c r="BZ123" s="1216"/>
      <c r="CA123" s="1216"/>
      <c r="CB123" s="1216"/>
      <c r="CC123" s="1216"/>
      <c r="CD123" s="1216"/>
      <c r="CE123" s="1216"/>
    </row>
    <row r="125" s="13261" customFormat="1" customHeight="1" ht="11.25">
      <c r="A125" s="1871" t="s">
        <v>2069</v>
      </c>
    </row>
    <row r="127" s="2911" customFormat="1" customHeight="1" ht="15">
      <c r="A127" s="679"/>
      <c r="B127" s="680"/>
      <c r="C127" s="680"/>
      <c r="D127" s="2634" t="s">
        <v>191</v>
      </c>
      <c r="E127" s="2433" t="s">
        <v>187</v>
      </c>
      <c r="F127" s="2434"/>
      <c r="G127" s="2435"/>
      <c r="H127" s="2439" t="str">
        <f>IF(A127="","",INDEX(DIFFERENTIATION_UNMERGE_VD,MATCH(A127,DIFFERENTIATION_ID_DIFF,0)))</f>
        <v/>
      </c>
      <c r="I127" s="2439"/>
      <c r="J127" s="2439"/>
      <c r="K127" s="2439"/>
      <c r="L127" s="2439"/>
      <c r="M127" s="2439"/>
      <c r="N127" s="2439"/>
      <c r="O127" s="2439"/>
      <c r="P127" s="2439"/>
      <c r="Q127" s="2439"/>
      <c r="R127" s="2439"/>
      <c r="S127" s="775"/>
      <c r="T127" s="772"/>
      <c r="U127" s="681"/>
      <c r="V127" s="681"/>
      <c r="W127" s="682"/>
      <c r="X127" s="682"/>
      <c r="Y127" s="682"/>
      <c r="Z127" s="682"/>
      <c r="AA127" s="683"/>
      <c r="AB127" s="684"/>
      <c r="AC127" s="2431"/>
      <c r="AD127" s="685"/>
      <c r="AE127" s="686" t="s">
        <v>28</v>
      </c>
      <c r="AF127" s="686"/>
      <c r="AG127" s="687" t="s">
        <v>742</v>
      </c>
      <c r="AH127" s="688">
        <v>3</v>
      </c>
      <c r="AI127" s="681"/>
      <c r="AJ127" s="681"/>
      <c r="AK127" s="681"/>
      <c r="AL127" s="681"/>
      <c r="AM127" s="681"/>
      <c r="AN127" s="681"/>
      <c r="AO127" s="681"/>
      <c r="AP127" s="681"/>
      <c r="AQ127" s="681"/>
      <c r="AR127" s="681"/>
      <c r="AS127" s="681"/>
      <c r="AT127" s="681"/>
      <c r="AU127" s="681"/>
      <c r="AV127" s="681"/>
      <c r="AW127" s="681"/>
      <c r="AX127" s="681"/>
      <c r="AY127" s="681"/>
      <c r="AZ127" s="681"/>
      <c r="BA127" s="681"/>
      <c r="BB127" s="681"/>
      <c r="BC127" s="681"/>
      <c r="BD127" s="681"/>
      <c r="BE127" s="681"/>
      <c r="BF127" s="681"/>
      <c r="BG127" s="681"/>
      <c r="BH127" s="681"/>
      <c r="BI127" s="681"/>
      <c r="BJ127" s="681"/>
      <c r="BK127" s="681"/>
      <c r="BL127" s="681"/>
      <c r="BM127" s="681"/>
      <c r="BN127" s="681"/>
      <c r="BO127" s="681"/>
      <c r="BP127" s="681"/>
      <c r="BQ127" s="681"/>
      <c r="BR127" s="681"/>
      <c r="BS127" s="681"/>
      <c r="BT127" s="681"/>
      <c r="BU127" s="681"/>
      <c r="BV127" s="682"/>
      <c r="BW127" s="682"/>
      <c r="BX127" s="682"/>
      <c r="BY127" s="682"/>
      <c r="BZ127" s="682"/>
      <c r="CA127" s="682"/>
      <c r="CB127" s="682"/>
      <c r="CC127" s="682"/>
      <c r="CD127" s="682"/>
      <c r="CE127" s="682"/>
    </row>
    <row s="2911" customFormat="1" customHeight="1" ht="15">
      <c r="A128" s="679"/>
      <c r="B128" s="680"/>
      <c r="C128" s="680"/>
      <c r="D128" s="2635"/>
      <c r="E128" s="2433" t="s">
        <v>697</v>
      </c>
      <c r="F128" s="2434"/>
      <c r="G128" s="2435"/>
      <c r="H128" s="2439" t="str">
        <f>IF(A127="","",INDEX(DIFFERENTIATION_UNMERGE_AREA,MATCH(A127,DIFFERENTIATION_ID_DIFF,0)))</f>
        <v/>
      </c>
      <c r="I128" s="2439"/>
      <c r="J128" s="2439"/>
      <c r="K128" s="2439"/>
      <c r="L128" s="2439"/>
      <c r="M128" s="2439"/>
      <c r="N128" s="2439"/>
      <c r="O128" s="2439"/>
      <c r="P128" s="2439"/>
      <c r="Q128" s="2439"/>
      <c r="R128" s="2439"/>
      <c r="S128" s="775"/>
      <c r="T128" s="772"/>
      <c r="U128" s="681"/>
      <c r="V128" s="681"/>
      <c r="W128" s="682"/>
      <c r="X128" s="682"/>
      <c r="Y128" s="682"/>
      <c r="Z128" s="682"/>
      <c r="AA128" s="683"/>
      <c r="AB128" s="684"/>
      <c r="AC128" s="2431"/>
      <c r="AD128" s="685"/>
      <c r="AE128" s="686"/>
      <c r="AF128" s="686"/>
      <c r="AG128" s="687"/>
      <c r="AH128" s="688"/>
      <c r="AI128" s="681"/>
      <c r="AJ128" s="681"/>
      <c r="AK128" s="681"/>
      <c r="AL128" s="681"/>
      <c r="AM128" s="681"/>
      <c r="AN128" s="681"/>
      <c r="AO128" s="681"/>
      <c r="AP128" s="681"/>
      <c r="AQ128" s="681"/>
      <c r="AR128" s="681"/>
      <c r="AS128" s="681"/>
      <c r="AT128" s="681"/>
      <c r="AU128" s="681"/>
      <c r="AV128" s="681"/>
      <c r="AW128" s="681"/>
      <c r="AX128" s="681"/>
      <c r="AY128" s="681"/>
      <c r="AZ128" s="681"/>
      <c r="BA128" s="681"/>
      <c r="BB128" s="681"/>
      <c r="BC128" s="681"/>
      <c r="BD128" s="681"/>
      <c r="BE128" s="681"/>
      <c r="BF128" s="681"/>
      <c r="BG128" s="681"/>
      <c r="BH128" s="681"/>
      <c r="BI128" s="681"/>
      <c r="BJ128" s="681"/>
      <c r="BK128" s="681"/>
      <c r="BL128" s="681"/>
      <c r="BM128" s="681"/>
      <c r="BN128" s="681"/>
      <c r="BO128" s="681"/>
      <c r="BP128" s="681"/>
      <c r="BQ128" s="681"/>
      <c r="BR128" s="681"/>
      <c r="BS128" s="681"/>
      <c r="BT128" s="681"/>
      <c r="BU128" s="681"/>
      <c r="BV128" s="682"/>
      <c r="BW128" s="682"/>
      <c r="BX128" s="682"/>
      <c r="BY128" s="682"/>
      <c r="BZ128" s="682"/>
      <c r="CA128" s="682"/>
      <c r="CB128" s="682"/>
      <c r="CC128" s="682"/>
      <c r="CD128" s="682"/>
      <c r="CE128" s="682"/>
    </row>
    <row s="2911" customFormat="1" customHeight="1" ht="15">
      <c r="A129" s="679"/>
      <c r="B129" s="680"/>
      <c r="C129" s="680"/>
      <c r="D129" s="2635"/>
      <c r="E129" s="2433" t="s">
        <v>698</v>
      </c>
      <c r="F129" s="2434"/>
      <c r="G129" s="2435"/>
      <c r="H129" s="2439" t="str">
        <f>IF(A127="","",INDEX(DIFFERENTIATION_UNMERGE_SYSTEM,MATCH(A127,DIFFERENTIATION_ID_DIFF,0)))</f>
        <v/>
      </c>
      <c r="I129" s="2439"/>
      <c r="J129" s="2439"/>
      <c r="K129" s="2439"/>
      <c r="L129" s="2439"/>
      <c r="M129" s="2439"/>
      <c r="N129" s="2439"/>
      <c r="O129" s="2439"/>
      <c r="P129" s="2439"/>
      <c r="Q129" s="2439"/>
      <c r="R129" s="2439"/>
      <c r="S129" s="775"/>
      <c r="T129" s="772"/>
      <c r="U129" s="681"/>
      <c r="V129" s="681"/>
      <c r="W129" s="682"/>
      <c r="X129" s="682"/>
      <c r="Y129" s="682"/>
      <c r="Z129" s="682"/>
      <c r="AA129" s="683"/>
      <c r="AB129" s="684"/>
      <c r="AC129" s="2431"/>
      <c r="AD129" s="685"/>
      <c r="AE129" s="686"/>
      <c r="AF129" s="686"/>
      <c r="AG129" s="687"/>
      <c r="AH129" s="688"/>
      <c r="AI129" s="681"/>
      <c r="AJ129" s="681"/>
      <c r="AK129" s="681"/>
      <c r="AL129" s="681"/>
      <c r="AM129" s="681"/>
      <c r="AN129" s="681"/>
      <c r="AO129" s="681"/>
      <c r="AP129" s="681"/>
      <c r="AQ129" s="681"/>
      <c r="AR129" s="681"/>
      <c r="AS129" s="681"/>
      <c r="AT129" s="681"/>
      <c r="AU129" s="681"/>
      <c r="AV129" s="681"/>
      <c r="AW129" s="681"/>
      <c r="AX129" s="681"/>
      <c r="AY129" s="681"/>
      <c r="AZ129" s="681"/>
      <c r="BA129" s="681"/>
      <c r="BB129" s="681"/>
      <c r="BC129" s="681"/>
      <c r="BD129" s="681"/>
      <c r="BE129" s="681"/>
      <c r="BF129" s="681"/>
      <c r="BG129" s="681"/>
      <c r="BH129" s="681"/>
      <c r="BI129" s="681"/>
      <c r="BJ129" s="681"/>
      <c r="BK129" s="681"/>
      <c r="BL129" s="681"/>
      <c r="BM129" s="681"/>
      <c r="BN129" s="681"/>
      <c r="BO129" s="681"/>
      <c r="BP129" s="681"/>
      <c r="BQ129" s="681"/>
      <c r="BR129" s="681"/>
      <c r="BS129" s="681"/>
      <c r="BT129" s="681"/>
      <c r="BU129" s="681"/>
      <c r="BV129" s="682"/>
      <c r="BW129" s="682"/>
      <c r="BX129" s="682"/>
      <c r="BY129" s="682"/>
      <c r="BZ129" s="682"/>
      <c r="CA129" s="682"/>
      <c r="CB129" s="682"/>
      <c r="CC129" s="682"/>
      <c r="CD129" s="682"/>
      <c r="CE129" s="682"/>
    </row>
    <row s="2911" customFormat="1" customHeight="1" ht="24.75">
      <c r="A130" s="1862"/>
      <c r="B130" s="1216"/>
      <c r="C130" s="468"/>
      <c r="D130" s="2635"/>
      <c r="E130" s="2432" t="s">
        <v>743</v>
      </c>
      <c r="F130" s="2432"/>
      <c r="G130" s="2432"/>
      <c r="H130" s="2432"/>
      <c r="I130" s="2432"/>
      <c r="J130" s="2432"/>
      <c r="K130" s="2432"/>
      <c r="L130" s="2432"/>
      <c r="M130" s="2432"/>
      <c r="N130" s="2432"/>
      <c r="O130" s="2432"/>
      <c r="P130" s="2432"/>
      <c r="Q130" s="614">
        <f>SUMIF(T131:T132,"i",Q131:Q132)</f>
        <v>0</v>
      </c>
      <c r="R130" s="1073"/>
      <c r="S130" s="1854" t="s">
        <v>744</v>
      </c>
      <c r="T130" s="773" t="s">
        <v>745</v>
      </c>
      <c r="U130" s="2430">
        <v>1</v>
      </c>
      <c r="V130" s="2430" t="s">
        <v>708</v>
      </c>
      <c r="W130" s="1216"/>
      <c r="X130" s="1216"/>
      <c r="Y130" s="1216"/>
      <c r="Z130" s="1216"/>
      <c r="AA130" s="1692"/>
      <c r="AB130" s="1216"/>
      <c r="AC130" s="2431"/>
      <c r="AD130" s="685"/>
      <c r="AE130" s="1216"/>
      <c r="AF130" s="1216"/>
      <c r="AG130" s="1692"/>
      <c r="AH130" s="1692"/>
      <c r="AI130" s="1692"/>
      <c r="AJ130" s="1692"/>
      <c r="AK130" s="1692"/>
      <c r="AL130" s="1692"/>
      <c r="AM130" s="1692"/>
      <c r="AN130" s="1692"/>
      <c r="AO130" s="1692"/>
      <c r="AP130" s="1692"/>
      <c r="AQ130" s="1692"/>
      <c r="AR130" s="1692"/>
      <c r="AS130" s="1692"/>
      <c r="AT130" s="1692"/>
      <c r="AU130" s="1692"/>
      <c r="AV130" s="1692"/>
      <c r="AW130" s="1692"/>
      <c r="AX130" s="1692"/>
      <c r="AY130" s="1692"/>
      <c r="AZ130" s="1692"/>
      <c r="BA130" s="1692"/>
      <c r="BB130" s="1692"/>
      <c r="BC130" s="1692"/>
      <c r="BD130" s="1692"/>
      <c r="BE130" s="1692"/>
      <c r="BF130" s="1692"/>
      <c r="BG130" s="1692"/>
      <c r="BH130" s="1692"/>
      <c r="BI130" s="1692"/>
      <c r="BJ130" s="1692"/>
      <c r="BK130" s="1692"/>
      <c r="BL130" s="1692"/>
      <c r="BM130" s="1692"/>
      <c r="BN130" s="1692"/>
      <c r="BO130" s="1692"/>
      <c r="BP130" s="1692"/>
      <c r="BQ130" s="1692"/>
      <c r="BR130" s="1692"/>
      <c r="BS130" s="1692"/>
      <c r="BT130" s="1692"/>
      <c r="BU130" s="1692"/>
      <c r="BV130" s="1216"/>
      <c r="BW130" s="1216"/>
      <c r="BX130" s="1216"/>
      <c r="BY130" s="1216"/>
      <c r="BZ130" s="1216"/>
      <c r="CA130" s="1216"/>
      <c r="CB130" s="1216"/>
      <c r="CC130" s="1216"/>
      <c r="CD130" s="1216"/>
      <c r="CE130" s="1216"/>
    </row>
    <row s="2911" customFormat="1" customHeight="1" ht="11.25" hidden="1">
      <c r="A131" s="1849"/>
      <c r="B131" s="1692"/>
      <c r="C131" s="1692"/>
      <c r="D131" s="2635"/>
      <c r="E131" s="691"/>
      <c r="F131" s="691">
        <v>0</v>
      </c>
      <c r="G131" s="691"/>
      <c r="H131" s="691"/>
      <c r="I131" s="691"/>
      <c r="J131" s="691"/>
      <c r="K131" s="691"/>
      <c r="L131" s="691"/>
      <c r="M131" s="691"/>
      <c r="N131" s="691"/>
      <c r="O131" s="691"/>
      <c r="P131" s="691"/>
      <c r="Q131" s="691"/>
      <c r="R131" s="691"/>
      <c r="S131" s="692"/>
      <c r="T131" s="774"/>
      <c r="U131" s="2430"/>
      <c r="V131" s="2430"/>
      <c r="W131" s="1692"/>
      <c r="X131" s="1692"/>
      <c r="Y131" s="1692"/>
      <c r="Z131" s="1692"/>
      <c r="AA131" s="1692"/>
      <c r="AB131" s="1216"/>
      <c r="AC131" s="2431"/>
      <c r="AD131" s="685"/>
      <c r="AE131" s="1216"/>
      <c r="AF131" s="1216"/>
      <c r="AG131" s="1692"/>
      <c r="AH131" s="1692"/>
      <c r="AI131" s="1692"/>
      <c r="AJ131" s="1692"/>
      <c r="AK131" s="1692"/>
      <c r="AL131" s="1692"/>
      <c r="AM131" s="1692"/>
      <c r="AN131" s="1692"/>
      <c r="AO131" s="1692"/>
      <c r="AP131" s="1692"/>
      <c r="AQ131" s="1692"/>
      <c r="AR131" s="1692"/>
      <c r="AS131" s="1692"/>
      <c r="AT131" s="1692"/>
      <c r="AU131" s="1692"/>
      <c r="AV131" s="1692"/>
      <c r="AW131" s="1692"/>
      <c r="AX131" s="1692"/>
      <c r="AY131" s="1692"/>
      <c r="AZ131" s="1692"/>
      <c r="BA131" s="1692"/>
      <c r="BB131" s="1692"/>
      <c r="BC131" s="1692"/>
      <c r="BD131" s="1692"/>
      <c r="BE131" s="1692"/>
      <c r="BF131" s="1692"/>
      <c r="BG131" s="1692"/>
      <c r="BH131" s="1692"/>
      <c r="BI131" s="1692"/>
      <c r="BJ131" s="1692"/>
      <c r="BK131" s="1692"/>
      <c r="BL131" s="1692"/>
      <c r="BM131" s="1692"/>
      <c r="BN131" s="1692"/>
      <c r="BO131" s="1692"/>
      <c r="BP131" s="1692"/>
      <c r="BQ131" s="1692"/>
      <c r="BR131" s="1692"/>
      <c r="BS131" s="1692"/>
      <c r="BT131" s="1692"/>
      <c r="BU131" s="1692"/>
      <c r="BV131" s="1692"/>
      <c r="BW131" s="1692"/>
      <c r="BX131" s="1692"/>
      <c r="BY131" s="1692"/>
      <c r="BZ131" s="1692"/>
      <c r="CA131" s="1692"/>
      <c r="CB131" s="1692"/>
      <c r="CC131" s="1692"/>
      <c r="CD131" s="1692"/>
      <c r="CE131" s="1692"/>
    </row>
    <row s="2911" customFormat="1" customHeight="1" ht="11.25">
      <c r="A132" s="1862"/>
      <c r="B132" s="1216"/>
      <c r="C132" s="468"/>
      <c r="D132" s="2635"/>
      <c r="E132" s="705" t="s">
        <v>28</v>
      </c>
      <c r="F132" s="1224" t="s">
        <v>28</v>
      </c>
      <c r="G132" s="1224" t="s">
        <v>2068</v>
      </c>
      <c r="H132" s="707" t="s">
        <v>28</v>
      </c>
      <c r="I132" s="707"/>
      <c r="J132" s="707"/>
      <c r="K132" s="707"/>
      <c r="L132" s="707"/>
      <c r="M132" s="707"/>
      <c r="N132" s="707"/>
      <c r="O132" s="707"/>
      <c r="P132" s="707"/>
      <c r="Q132" s="707"/>
      <c r="R132" s="708"/>
      <c r="S132" s="709"/>
      <c r="T132" s="774"/>
      <c r="U132" s="2430"/>
      <c r="V132" s="2430"/>
      <c r="W132" s="1216"/>
      <c r="X132" s="1216"/>
      <c r="Y132" s="1216"/>
      <c r="Z132" s="1216"/>
      <c r="AA132" s="1692"/>
      <c r="AB132" s="1216"/>
      <c r="AC132" s="2431"/>
      <c r="AD132" s="685"/>
      <c r="AE132" s="1216"/>
      <c r="AF132" s="1216"/>
      <c r="AG132" s="1692"/>
      <c r="AH132" s="1692"/>
      <c r="AI132" s="1692"/>
      <c r="AJ132" s="1692"/>
      <c r="AK132" s="1692"/>
      <c r="AL132" s="1692"/>
      <c r="AM132" s="1692"/>
      <c r="AN132" s="1692"/>
      <c r="AO132" s="1692"/>
      <c r="AP132" s="1692"/>
      <c r="AQ132" s="1692"/>
      <c r="AR132" s="1692"/>
      <c r="AS132" s="1692"/>
      <c r="AT132" s="1692"/>
      <c r="AU132" s="1692"/>
      <c r="AV132" s="1692"/>
      <c r="AW132" s="1692"/>
      <c r="AX132" s="1692"/>
      <c r="AY132" s="1692"/>
      <c r="AZ132" s="1692"/>
      <c r="BA132" s="1692"/>
      <c r="BB132" s="1692"/>
      <c r="BC132" s="1692"/>
      <c r="BD132" s="1692"/>
      <c r="BE132" s="1692"/>
      <c r="BF132" s="1692"/>
      <c r="BG132" s="1692"/>
      <c r="BH132" s="1692"/>
      <c r="BI132" s="1692"/>
      <c r="BJ132" s="1692"/>
      <c r="BK132" s="1692"/>
      <c r="BL132" s="1692"/>
      <c r="BM132" s="1692"/>
      <c r="BN132" s="1692"/>
      <c r="BO132" s="1692"/>
      <c r="BP132" s="1692"/>
      <c r="BQ132" s="1692"/>
      <c r="BR132" s="1692"/>
      <c r="BS132" s="1692"/>
      <c r="BT132" s="1692"/>
      <c r="BU132" s="1692"/>
      <c r="BV132" s="1216"/>
      <c r="BW132" s="1216"/>
      <c r="BX132" s="1216"/>
      <c r="BY132" s="1216"/>
      <c r="BZ132" s="1216"/>
      <c r="CA132" s="1216"/>
      <c r="CB132" s="1216"/>
      <c r="CC132" s="1216"/>
      <c r="CD132" s="1216"/>
      <c r="CE132" s="1216"/>
    </row>
    <row s="3244" customFormat="1" customHeight="1" ht="5.25" hidden="1">
      <c r="A133" s="1849"/>
      <c r="B133" s="1692"/>
      <c r="C133" s="1692"/>
      <c r="D133" s="2635"/>
      <c r="E133" s="1095"/>
      <c r="F133" s="1095"/>
      <c r="G133" s="1095"/>
      <c r="H133" s="1095"/>
      <c r="I133" s="1095"/>
      <c r="J133" s="1095"/>
      <c r="K133" s="1095"/>
      <c r="L133" s="1095"/>
      <c r="M133" s="1095"/>
      <c r="N133" s="1095"/>
      <c r="O133" s="1095"/>
      <c r="P133" s="1095"/>
      <c r="Q133" s="1096"/>
      <c r="R133" s="1097"/>
      <c r="S133" s="1098"/>
      <c r="T133" s="773" t="s">
        <v>745</v>
      </c>
      <c r="U133" s="2430">
        <v>1</v>
      </c>
      <c r="V133" s="2430" t="s">
        <v>708</v>
      </c>
      <c r="W133" s="1692"/>
      <c r="X133" s="1692"/>
      <c r="Y133" s="1692"/>
      <c r="Z133" s="1692"/>
      <c r="AA133" s="1692"/>
      <c r="AB133" s="1692"/>
      <c r="AC133" s="1093"/>
      <c r="AD133" s="1094"/>
      <c r="AE133" s="1692"/>
      <c r="AF133" s="1692"/>
      <c r="AG133" s="1692"/>
      <c r="AH133" s="1692"/>
      <c r="AI133" s="1692"/>
      <c r="AJ133" s="1692"/>
      <c r="AK133" s="1692"/>
      <c r="AL133" s="1692"/>
      <c r="AM133" s="1692"/>
      <c r="AN133" s="1692"/>
      <c r="AO133" s="1692"/>
      <c r="AP133" s="1692"/>
      <c r="AQ133" s="1692"/>
      <c r="AR133" s="1692"/>
      <c r="AS133" s="1692"/>
      <c r="AT133" s="1692"/>
      <c r="AU133" s="1692"/>
      <c r="AV133" s="1692"/>
      <c r="AW133" s="1692"/>
      <c r="AX133" s="1692"/>
      <c r="AY133" s="1692"/>
      <c r="AZ133" s="1692"/>
      <c r="BA133" s="1692"/>
      <c r="BB133" s="1692"/>
      <c r="BC133" s="1692"/>
      <c r="BD133" s="1692"/>
      <c r="BE133" s="1692"/>
      <c r="BF133" s="1692"/>
      <c r="BG133" s="1692"/>
      <c r="BH133" s="1692"/>
      <c r="BI133" s="1692"/>
      <c r="BJ133" s="1692"/>
      <c r="BK133" s="1692"/>
      <c r="BL133" s="1692"/>
      <c r="BM133" s="1692"/>
      <c r="BN133" s="1692"/>
      <c r="BO133" s="1692"/>
      <c r="BP133" s="1692"/>
      <c r="BQ133" s="1692"/>
      <c r="BR133" s="1692"/>
      <c r="BS133" s="1692"/>
      <c r="BT133" s="1692"/>
      <c r="BU133" s="1692"/>
      <c r="BV133" s="1692"/>
      <c r="BW133" s="1692"/>
      <c r="BX133" s="1692"/>
      <c r="BY133" s="1692"/>
      <c r="BZ133" s="1692"/>
      <c r="CA133" s="1692"/>
      <c r="CB133" s="1692"/>
      <c r="CC133" s="1692"/>
      <c r="CD133" s="1692"/>
      <c r="CE133" s="1692"/>
    </row>
    <row s="3244" customFormat="1" customHeight="1" ht="5.25" hidden="1">
      <c r="A134" s="1849"/>
      <c r="B134" s="1692"/>
      <c r="C134" s="1692"/>
      <c r="D134" s="2635"/>
      <c r="E134" s="691"/>
      <c r="F134" s="691"/>
      <c r="G134" s="691"/>
      <c r="H134" s="691"/>
      <c r="I134" s="691"/>
      <c r="J134" s="691"/>
      <c r="K134" s="691"/>
      <c r="L134" s="691"/>
      <c r="M134" s="691"/>
      <c r="N134" s="691"/>
      <c r="O134" s="691"/>
      <c r="P134" s="691"/>
      <c r="Q134" s="691"/>
      <c r="R134" s="691"/>
      <c r="S134" s="692"/>
      <c r="T134" s="774"/>
      <c r="U134" s="2430"/>
      <c r="V134" s="2430"/>
      <c r="W134" s="1692"/>
      <c r="X134" s="1692"/>
      <c r="Y134" s="1692"/>
      <c r="Z134" s="1692"/>
      <c r="AA134" s="1692"/>
      <c r="AB134" s="1692"/>
      <c r="AC134" s="1093"/>
      <c r="AD134" s="1094"/>
      <c r="AE134" s="1692"/>
      <c r="AF134" s="1692"/>
      <c r="AG134" s="1692"/>
      <c r="AH134" s="1692"/>
      <c r="AI134" s="1692"/>
      <c r="AJ134" s="1692"/>
      <c r="AK134" s="1692"/>
      <c r="AL134" s="1692"/>
      <c r="AM134" s="1692"/>
      <c r="AN134" s="1692"/>
      <c r="AO134" s="1692"/>
      <c r="AP134" s="1692"/>
      <c r="AQ134" s="1692"/>
      <c r="AR134" s="1692"/>
      <c r="AS134" s="1692"/>
      <c r="AT134" s="1692"/>
      <c r="AU134" s="1692"/>
      <c r="AV134" s="1692"/>
      <c r="AW134" s="1692"/>
      <c r="AX134" s="1692"/>
      <c r="AY134" s="1692"/>
      <c r="AZ134" s="1692"/>
      <c r="BA134" s="1692"/>
      <c r="BB134" s="1692"/>
      <c r="BC134" s="1692"/>
      <c r="BD134" s="1692"/>
      <c r="BE134" s="1692"/>
      <c r="BF134" s="1692"/>
      <c r="BG134" s="1692"/>
      <c r="BH134" s="1692"/>
      <c r="BI134" s="1692"/>
      <c r="BJ134" s="1692"/>
      <c r="BK134" s="1692"/>
      <c r="BL134" s="1692"/>
      <c r="BM134" s="1692"/>
      <c r="BN134" s="1692"/>
      <c r="BO134" s="1692"/>
      <c r="BP134" s="1692"/>
      <c r="BQ134" s="1692"/>
      <c r="BR134" s="1692"/>
      <c r="BS134" s="1692"/>
      <c r="BT134" s="1692"/>
      <c r="BU134" s="1692"/>
      <c r="BV134" s="1692"/>
      <c r="BW134" s="1692"/>
      <c r="BX134" s="1692"/>
      <c r="BY134" s="1692"/>
      <c r="BZ134" s="1692"/>
      <c r="CA134" s="1692"/>
      <c r="CB134" s="1692"/>
      <c r="CC134" s="1692"/>
      <c r="CD134" s="1692"/>
      <c r="CE134" s="1692"/>
    </row>
    <row s="3244" customFormat="1" customHeight="1" ht="5.25" hidden="1">
      <c r="A135" s="1849"/>
      <c r="B135" s="1692"/>
      <c r="C135" s="1692"/>
      <c r="D135" s="2636"/>
      <c r="E135" s="1099"/>
      <c r="F135" s="1100"/>
      <c r="G135" s="1100"/>
      <c r="H135" s="1101"/>
      <c r="I135" s="1101"/>
      <c r="J135" s="1101"/>
      <c r="K135" s="1101"/>
      <c r="L135" s="1101"/>
      <c r="M135" s="1101"/>
      <c r="N135" s="1101"/>
      <c r="O135" s="1101"/>
      <c r="P135" s="1101"/>
      <c r="Q135" s="1101"/>
      <c r="R135" s="1002"/>
      <c r="S135" s="1102"/>
      <c r="T135" s="774"/>
      <c r="U135" s="2430"/>
      <c r="V135" s="2430"/>
      <c r="W135" s="1692"/>
      <c r="X135" s="1692"/>
      <c r="Y135" s="1692"/>
      <c r="Z135" s="1692"/>
      <c r="AA135" s="1692"/>
      <c r="AB135" s="1692"/>
      <c r="AC135" s="1093"/>
      <c r="AD135" s="1094"/>
      <c r="AE135" s="1692"/>
      <c r="AF135" s="1692"/>
      <c r="AG135" s="1692"/>
      <c r="AH135" s="1692"/>
      <c r="AI135" s="1692"/>
      <c r="AJ135" s="1692"/>
      <c r="AK135" s="1692"/>
      <c r="AL135" s="1692"/>
      <c r="AM135" s="1692"/>
      <c r="AN135" s="1692"/>
      <c r="AO135" s="1692"/>
      <c r="AP135" s="1692"/>
      <c r="AQ135" s="1692"/>
      <c r="AR135" s="1692"/>
      <c r="AS135" s="1692"/>
      <c r="AT135" s="1692"/>
      <c r="AU135" s="1692"/>
      <c r="AV135" s="1692"/>
      <c r="AW135" s="1692"/>
      <c r="AX135" s="1692"/>
      <c r="AY135" s="1692"/>
      <c r="AZ135" s="1692"/>
      <c r="BA135" s="1692"/>
      <c r="BB135" s="1692"/>
      <c r="BC135" s="1692"/>
      <c r="BD135" s="1692"/>
      <c r="BE135" s="1692"/>
      <c r="BF135" s="1692"/>
      <c r="BG135" s="1692"/>
      <c r="BH135" s="1692"/>
      <c r="BI135" s="1692"/>
      <c r="BJ135" s="1692"/>
      <c r="BK135" s="1692"/>
      <c r="BL135" s="1692"/>
      <c r="BM135" s="1692"/>
      <c r="BN135" s="1692"/>
      <c r="BO135" s="1692"/>
      <c r="BP135" s="1692"/>
      <c r="BQ135" s="1692"/>
      <c r="BR135" s="1692"/>
      <c r="BS135" s="1692"/>
      <c r="BT135" s="1692"/>
      <c r="BU135" s="1692"/>
      <c r="BV135" s="1692"/>
      <c r="BW135" s="1692"/>
      <c r="BX135" s="1692"/>
      <c r="BY135" s="1692"/>
      <c r="BZ135" s="1692"/>
      <c r="CA135" s="1692"/>
      <c r="CB135" s="1692"/>
      <c r="CC135" s="1692"/>
      <c r="CD135" s="1692"/>
      <c r="CE135" s="1692"/>
    </row>
    <row customHeight="1" ht="17.25">
      <c r="D136" s="1892"/>
    </row>
    <row s="13261" customFormat="1" customHeight="1" ht="11.25">
      <c r="A137" s="1871" t="s">
        <v>2070</v>
      </c>
    </row>
    <row r="139" s="2911" customFormat="1" customHeight="1" ht="45">
      <c r="A139" s="1862"/>
      <c r="B139" s="1216"/>
      <c r="C139" s="468"/>
      <c r="D139" s="145"/>
      <c r="E139" s="2628"/>
      <c r="F139" s="2164" t="s">
        <v>191</v>
      </c>
      <c r="G139" s="2631" t="s">
        <v>28</v>
      </c>
      <c r="H139" s="345"/>
      <c r="I139" s="693" t="s">
        <v>191</v>
      </c>
      <c r="J139" s="1863" t="s">
        <v>2071</v>
      </c>
      <c r="K139" s="694" t="s">
        <v>679</v>
      </c>
      <c r="L139" s="2280" t="s">
        <v>679</v>
      </c>
      <c r="M139" s="2633"/>
      <c r="N139" s="694" t="s">
        <v>679</v>
      </c>
      <c r="O139" s="694" t="s">
        <v>679</v>
      </c>
      <c r="P139" s="694" t="s">
        <v>679</v>
      </c>
      <c r="Q139" s="695">
        <f>SUM(Q140:Q142)</f>
        <v>0</v>
      </c>
      <c r="R139" s="695">
        <f>IF(R136=0,0,(Q136/R136)*100)</f>
        <v>0</v>
      </c>
      <c r="S139" s="2235"/>
      <c r="T139" s="773" t="s">
        <v>745</v>
      </c>
      <c r="U139" s="145"/>
      <c r="V139" s="145"/>
      <c r="AC139" s="145"/>
    </row>
    <row s="2911" customFormat="1" customHeight="1" ht="11.25">
      <c r="A140" s="1862"/>
      <c r="B140" s="1216"/>
      <c r="C140" s="468"/>
      <c r="D140" s="145"/>
      <c r="E140" s="2629"/>
      <c r="F140" s="2164"/>
      <c r="G140" s="2631"/>
      <c r="H140" s="2183"/>
      <c r="I140" s="2571" t="s">
        <v>1154</v>
      </c>
      <c r="J140" s="2625"/>
      <c r="K140" s="2626"/>
      <c r="L140" s="696"/>
      <c r="M140" s="697" t="s">
        <v>191</v>
      </c>
      <c r="N140" s="1851"/>
      <c r="O140" s="698"/>
      <c r="P140" s="699"/>
      <c r="Q140" s="698"/>
      <c r="R140" s="700">
        <v>0</v>
      </c>
      <c r="S140" s="2235"/>
      <c r="T140" s="773"/>
      <c r="U140" s="145"/>
      <c r="V140" s="145"/>
      <c r="AC140" s="145"/>
    </row>
    <row s="2911" customFormat="1" customHeight="1" ht="11.25">
      <c r="A141" s="1862"/>
      <c r="B141" s="1216"/>
      <c r="C141" s="468"/>
      <c r="D141" s="145"/>
      <c r="E141" s="2629"/>
      <c r="F141" s="2164"/>
      <c r="G141" s="2631"/>
      <c r="H141" s="2183"/>
      <c r="I141" s="2571"/>
      <c r="J141" s="2625"/>
      <c r="K141" s="2627"/>
      <c r="L141" s="701"/>
      <c r="M141" s="702"/>
      <c r="N141" s="703" t="s">
        <v>2072</v>
      </c>
      <c r="O141" s="703"/>
      <c r="P141" s="703"/>
      <c r="Q141" s="703"/>
      <c r="R141" s="704"/>
      <c r="S141" s="2235"/>
      <c r="T141" s="773"/>
      <c r="U141" s="145"/>
      <c r="V141" s="145"/>
      <c r="AC141" s="145"/>
    </row>
    <row s="2911" customFormat="1" customHeight="1" ht="11.25">
      <c r="A142" s="1862"/>
      <c r="B142" s="1216"/>
      <c r="C142" s="468"/>
      <c r="D142" s="145"/>
      <c r="E142" s="2630"/>
      <c r="F142" s="2164"/>
      <c r="G142" s="2632"/>
      <c r="H142" s="701" t="s">
        <v>28</v>
      </c>
      <c r="I142" s="702"/>
      <c r="J142" s="703" t="s">
        <v>2073</v>
      </c>
      <c r="K142" s="703"/>
      <c r="L142" s="703"/>
      <c r="M142" s="703"/>
      <c r="N142" s="703"/>
      <c r="O142" s="703"/>
      <c r="P142" s="703"/>
      <c r="Q142" s="703"/>
      <c r="R142" s="704"/>
      <c r="S142" s="2235"/>
      <c r="T142" s="773"/>
      <c r="U142" s="145"/>
      <c r="V142" s="145"/>
      <c r="AC142" s="145"/>
    </row>
    <row r="147" s="2911" customFormat="1" customHeight="1" ht="11.25">
      <c r="A147" s="1862"/>
      <c r="B147" s="1216"/>
      <c r="C147" s="468"/>
      <c r="D147" s="145"/>
      <c r="E147" s="1886"/>
      <c r="F147" s="1886"/>
      <c r="G147" s="1886"/>
      <c r="H147" s="2183"/>
      <c r="I147" s="2571" t="s">
        <v>1154</v>
      </c>
      <c r="J147" s="2625"/>
      <c r="K147" s="2626"/>
      <c r="L147" s="696"/>
      <c r="M147" s="697" t="s">
        <v>191</v>
      </c>
      <c r="N147" s="1851"/>
      <c r="O147" s="698"/>
      <c r="P147" s="699"/>
      <c r="Q147" s="698"/>
      <c r="R147" s="700">
        <v>0</v>
      </c>
      <c r="S147" s="145"/>
      <c r="T147" s="773"/>
      <c r="U147" s="145"/>
      <c r="V147" s="145"/>
      <c r="AC147" s="145"/>
    </row>
    <row s="2911" customFormat="1" customHeight="1" ht="11.25">
      <c r="A148" s="1862"/>
      <c r="B148" s="1216"/>
      <c r="C148" s="468"/>
      <c r="D148" s="145"/>
      <c r="E148" s="1886"/>
      <c r="F148" s="1886"/>
      <c r="G148" s="1886"/>
      <c r="H148" s="2183"/>
      <c r="I148" s="2571"/>
      <c r="J148" s="2625"/>
      <c r="K148" s="2627"/>
      <c r="L148" s="701"/>
      <c r="M148" s="702"/>
      <c r="N148" s="703" t="s">
        <v>2072</v>
      </c>
      <c r="O148" s="703"/>
      <c r="P148" s="703"/>
      <c r="Q148" s="703"/>
      <c r="R148" s="704"/>
      <c r="S148" s="145"/>
      <c r="T148" s="773"/>
      <c r="U148" s="145"/>
      <c r="V148" s="145"/>
      <c r="AC148" s="145"/>
    </row>
    <row r="150" s="2911" customFormat="1" customHeight="1" ht="11.25">
      <c r="A150" s="1862"/>
      <c r="B150" s="1216"/>
      <c r="C150" s="468"/>
      <c r="D150" s="145"/>
      <c r="E150" s="1893"/>
      <c r="F150" s="1891"/>
      <c r="G150" s="1891"/>
      <c r="H150" s="1894"/>
      <c r="I150" s="1886"/>
      <c r="J150" s="1887"/>
      <c r="K150" s="1887"/>
      <c r="L150" s="696"/>
      <c r="M150" s="697" t="s">
        <v>191</v>
      </c>
      <c r="N150" s="1851"/>
      <c r="O150" s="698"/>
      <c r="P150" s="699"/>
      <c r="Q150" s="698"/>
      <c r="R150" s="700">
        <v>0</v>
      </c>
      <c r="S150" s="145"/>
      <c r="T150" s="773"/>
      <c r="U150" s="145"/>
      <c r="V150" s="145"/>
      <c r="AC150" s="145"/>
    </row>
    <row r="152" s="13261" customFormat="1" customHeight="1" ht="17.25">
      <c r="A152" s="1871" t="s">
        <v>2074</v>
      </c>
    </row>
    <row customHeight="1" ht="17.25">
      <c r="G153" s="1895"/>
      <c r="H153" s="1895"/>
      <c r="I153" s="1895"/>
      <c r="M153" s="1891"/>
    </row>
    <row s="2983" customFormat="1" customHeight="1" ht="17.25">
      <c r="A154" s="1896"/>
      <c r="C154" s="1898"/>
      <c r="D154" s="2585"/>
      <c r="E154" s="2199"/>
      <c r="F154" s="2201"/>
      <c r="G154" s="2587"/>
      <c r="H154" s="2585"/>
      <c r="I154" s="2585">
        <v>1</v>
      </c>
      <c r="J154" s="2557"/>
      <c r="K154" s="2241" t="s">
        <v>65</v>
      </c>
      <c r="L154" s="2164"/>
      <c r="M154" s="2164" t="s">
        <v>191</v>
      </c>
      <c r="N154" s="2560" t="str">
        <f>IF(Z154="","",INDEX(TERRITORY_MR_LIST,MATCH(Z154,TERRITORY_LIST_ID,0)))</f>
        <v/>
      </c>
      <c r="O154" s="2241" t="s">
        <v>65</v>
      </c>
      <c r="P154" s="2164"/>
      <c r="Q154" s="2164" t="s">
        <v>191</v>
      </c>
      <c r="R154" s="2558" t="s">
        <v>28</v>
      </c>
      <c r="S154" s="2163" t="s">
        <v>65</v>
      </c>
      <c r="T154" s="1867"/>
      <c r="U154" s="1867" t="s">
        <v>191</v>
      </c>
      <c r="V154" s="1899" t="s">
        <v>28</v>
      </c>
      <c r="W154" s="1857"/>
      <c r="Y154" s="1323"/>
      <c r="Z154" s="1323"/>
      <c r="AA154" s="1323"/>
      <c r="AB154" s="1323"/>
      <c r="AC154" s="1323"/>
      <c r="AD154" s="1323"/>
      <c r="AE154" s="1323"/>
      <c r="AF154" s="1323"/>
      <c r="AG154" s="1323"/>
      <c r="AH154" s="1323"/>
      <c r="AI154" s="1323"/>
      <c r="AJ154" s="1323"/>
      <c r="AK154" s="1323"/>
      <c r="AL154" s="1900"/>
      <c r="AM154" s="1900"/>
      <c r="AN154" s="1323"/>
      <c r="AO154" s="1323"/>
      <c r="AP154" s="1323"/>
      <c r="AQ154" s="1323"/>
    </row>
    <row s="2983" customFormat="1" customHeight="1" ht="17.25">
      <c r="A155" s="1896"/>
      <c r="C155" s="1901"/>
      <c r="D155" s="2585"/>
      <c r="E155" s="2199"/>
      <c r="F155" s="2202"/>
      <c r="G155" s="2587"/>
      <c r="H155" s="2585"/>
      <c r="I155" s="2585"/>
      <c r="J155" s="2557"/>
      <c r="K155" s="2242"/>
      <c r="L155" s="2164"/>
      <c r="M155" s="2164"/>
      <c r="N155" s="2560"/>
      <c r="O155" s="2242"/>
      <c r="P155" s="2164"/>
      <c r="Q155" s="2164"/>
      <c r="R155" s="2558"/>
      <c r="S155" s="2163"/>
      <c r="T155" s="373"/>
      <c r="U155" s="374"/>
      <c r="V155" s="374" t="s">
        <v>546</v>
      </c>
      <c r="W155" s="375"/>
      <c r="Y155" s="1315"/>
      <c r="Z155" s="1315"/>
      <c r="AA155" s="1315"/>
      <c r="AB155" s="1315"/>
      <c r="AC155" s="1315"/>
      <c r="AD155" s="1315"/>
      <c r="AE155" s="1315"/>
      <c r="AF155" s="1315"/>
      <c r="AG155" s="1315"/>
      <c r="AH155" s="1315"/>
      <c r="AI155" s="1315"/>
      <c r="AJ155" s="1315"/>
      <c r="AK155" s="1315"/>
    </row>
    <row s="2983" customFormat="1" customHeight="1" ht="17.25">
      <c r="A156" s="1896"/>
      <c r="C156" s="1901"/>
      <c r="D156" s="2559"/>
      <c r="E156" s="2586"/>
      <c r="F156" s="2202"/>
      <c r="G156" s="2588"/>
      <c r="H156" s="2559"/>
      <c r="I156" s="2559"/>
      <c r="J156" s="2589"/>
      <c r="K156" s="2242"/>
      <c r="L156" s="2559"/>
      <c r="M156" s="2559"/>
      <c r="N156" s="2561"/>
      <c r="O156" s="2168"/>
      <c r="P156" s="373"/>
      <c r="Q156" s="374"/>
      <c r="R156" s="374" t="s">
        <v>302</v>
      </c>
      <c r="S156" s="1902"/>
      <c r="T156" s="1902"/>
      <c r="U156" s="1902"/>
      <c r="V156" s="1902"/>
      <c r="W156" s="375"/>
      <c r="Y156" s="1315"/>
      <c r="Z156" s="1315"/>
      <c r="AA156" s="1315"/>
      <c r="AB156" s="1315"/>
      <c r="AC156" s="1315"/>
      <c r="AD156" s="1315"/>
      <c r="AE156" s="1315"/>
      <c r="AF156" s="1315"/>
      <c r="AG156" s="1315"/>
      <c r="AH156" s="1315"/>
      <c r="AI156" s="1315"/>
      <c r="AJ156" s="1315"/>
      <c r="AK156" s="1315"/>
    </row>
    <row s="2983" customFormat="1" customHeight="1" ht="17.25">
      <c r="A157" s="1896"/>
      <c r="C157" s="1901"/>
      <c r="D157" s="2559"/>
      <c r="E157" s="2586"/>
      <c r="F157" s="2202"/>
      <c r="G157" s="2588"/>
      <c r="H157" s="2559"/>
      <c r="I157" s="2559"/>
      <c r="J157" s="2589"/>
      <c r="K157" s="2168"/>
      <c r="L157" s="373"/>
      <c r="M157" s="374"/>
      <c r="N157" s="374" t="s">
        <v>359</v>
      </c>
      <c r="O157" s="374"/>
      <c r="P157" s="374"/>
      <c r="Q157" s="374"/>
      <c r="R157" s="374"/>
      <c r="S157" s="1902"/>
      <c r="T157" s="1902"/>
      <c r="U157" s="1902"/>
      <c r="V157" s="1902"/>
      <c r="W157" s="375"/>
      <c r="Y157" s="1315"/>
      <c r="Z157" s="1315"/>
      <c r="AA157" s="1315"/>
      <c r="AB157" s="1315"/>
      <c r="AC157" s="1315"/>
      <c r="AD157" s="1315"/>
      <c r="AE157" s="1315"/>
      <c r="AF157" s="1315"/>
      <c r="AG157" s="1315"/>
      <c r="AH157" s="1315"/>
      <c r="AI157" s="1315"/>
      <c r="AJ157" s="1315"/>
      <c r="AK157" s="1315"/>
    </row>
    <row s="2983" customFormat="1" customHeight="1" ht="17.25">
      <c r="A158" s="1896"/>
      <c r="C158" s="1901"/>
      <c r="D158" s="2559"/>
      <c r="E158" s="2586"/>
      <c r="F158" s="2203"/>
      <c r="G158" s="2588"/>
      <c r="H158" s="373"/>
      <c r="I158" s="374"/>
      <c r="J158" s="374" t="s">
        <v>360</v>
      </c>
      <c r="K158" s="374"/>
      <c r="L158" s="374"/>
      <c r="M158" s="374"/>
      <c r="N158" s="374"/>
      <c r="O158" s="374"/>
      <c r="P158" s="374"/>
      <c r="Q158" s="374"/>
      <c r="R158" s="374"/>
      <c r="S158" s="1902"/>
      <c r="T158" s="1902"/>
      <c r="U158" s="1902"/>
      <c r="V158" s="1902"/>
      <c r="W158" s="375"/>
      <c r="Y158" s="1315"/>
      <c r="Z158" s="1315"/>
      <c r="AA158" s="1315"/>
      <c r="AB158" s="1315"/>
      <c r="AC158" s="1315"/>
      <c r="AD158" s="1315"/>
      <c r="AE158" s="1315"/>
      <c r="AF158" s="1315"/>
      <c r="AG158" s="1315"/>
      <c r="AH158" s="1315"/>
      <c r="AI158" s="1315"/>
      <c r="AJ158" s="1315"/>
      <c r="AK158" s="1315"/>
    </row>
    <row customHeight="1" ht="17.25">
      <c r="G159" s="1895"/>
      <c r="H159" s="1895"/>
      <c r="I159" s="1895"/>
      <c r="M159" s="1891"/>
    </row>
    <row s="2983" customFormat="1" customHeight="1" ht="17.25">
      <c r="A160" s="1896"/>
      <c r="C160" s="1898"/>
      <c r="D160" s="1886"/>
      <c r="E160" s="1903"/>
      <c r="F160" s="1840"/>
      <c r="G160" s="1904"/>
      <c r="H160" s="2585"/>
      <c r="I160" s="2585">
        <v>1</v>
      </c>
      <c r="J160" s="2557"/>
      <c r="K160" s="2241" t="s">
        <v>65</v>
      </c>
      <c r="L160" s="2164"/>
      <c r="M160" s="2164" t="s">
        <v>191</v>
      </c>
      <c r="N160" s="2560" t="str">
        <f>IF(Z160="","",INDEX(TERRITORY_MR_LIST,MATCH(Z160,TERRITORY_LIST_ID,0)))</f>
        <v/>
      </c>
      <c r="O160" s="2241" t="s">
        <v>65</v>
      </c>
      <c r="P160" s="2164"/>
      <c r="Q160" s="2164" t="s">
        <v>191</v>
      </c>
      <c r="R160" s="2558" t="s">
        <v>28</v>
      </c>
      <c r="S160" s="2163" t="s">
        <v>65</v>
      </c>
      <c r="T160" s="1867"/>
      <c r="U160" s="1867" t="s">
        <v>191</v>
      </c>
      <c r="V160" s="1899" t="s">
        <v>28</v>
      </c>
      <c r="W160" s="1857"/>
      <c r="Y160" s="1323"/>
      <c r="Z160" s="1323"/>
      <c r="AA160" s="1323"/>
      <c r="AB160" s="1323"/>
      <c r="AC160" s="1323"/>
      <c r="AD160" s="1323"/>
      <c r="AE160" s="1323"/>
      <c r="AF160" s="1323"/>
      <c r="AG160" s="1323"/>
      <c r="AH160" s="1323"/>
      <c r="AI160" s="1323"/>
      <c r="AJ160" s="1323"/>
      <c r="AK160" s="1323"/>
      <c r="AL160" s="1900"/>
      <c r="AM160" s="1900"/>
      <c r="AN160" s="1323"/>
      <c r="AO160" s="1323"/>
      <c r="AP160" s="1323"/>
      <c r="AQ160" s="1323"/>
    </row>
    <row s="2983" customFormat="1" customHeight="1" ht="17.25">
      <c r="A161" s="1896"/>
      <c r="C161" s="1901"/>
      <c r="D161" s="1886"/>
      <c r="E161" s="1903"/>
      <c r="F161" s="1840"/>
      <c r="G161" s="1904"/>
      <c r="H161" s="2585"/>
      <c r="I161" s="2585"/>
      <c r="J161" s="2557"/>
      <c r="K161" s="2242"/>
      <c r="L161" s="2164"/>
      <c r="M161" s="2164"/>
      <c r="N161" s="2560"/>
      <c r="O161" s="2242"/>
      <c r="P161" s="2164"/>
      <c r="Q161" s="2164"/>
      <c r="R161" s="2558"/>
      <c r="S161" s="2163"/>
      <c r="T161" s="373"/>
      <c r="U161" s="374"/>
      <c r="V161" s="374" t="s">
        <v>546</v>
      </c>
      <c r="W161" s="375"/>
      <c r="Y161" s="1315"/>
      <c r="Z161" s="1315"/>
      <c r="AA161" s="1315"/>
      <c r="AB161" s="1315"/>
      <c r="AC161" s="1315"/>
      <c r="AD161" s="1315"/>
      <c r="AE161" s="1315"/>
      <c r="AF161" s="1315"/>
      <c r="AG161" s="1315"/>
      <c r="AH161" s="1315"/>
      <c r="AI161" s="1315"/>
      <c r="AJ161" s="1315"/>
      <c r="AK161" s="1315"/>
    </row>
    <row s="2983" customFormat="1" customHeight="1" ht="17.25">
      <c r="A162" s="1896"/>
      <c r="C162" s="1901"/>
      <c r="D162" s="1886"/>
      <c r="E162" s="1903"/>
      <c r="F162" s="1840"/>
      <c r="G162" s="1904"/>
      <c r="H162" s="2559"/>
      <c r="I162" s="2559"/>
      <c r="J162" s="2589"/>
      <c r="K162" s="2242"/>
      <c r="L162" s="2559"/>
      <c r="M162" s="2559"/>
      <c r="N162" s="2561"/>
      <c r="O162" s="2168"/>
      <c r="P162" s="373"/>
      <c r="Q162" s="374"/>
      <c r="R162" s="374" t="s">
        <v>302</v>
      </c>
      <c r="S162" s="1902"/>
      <c r="T162" s="1902"/>
      <c r="U162" s="1902"/>
      <c r="V162" s="1902"/>
      <c r="W162" s="375"/>
      <c r="Y162" s="1315"/>
      <c r="Z162" s="1315"/>
      <c r="AA162" s="1315"/>
      <c r="AB162" s="1315"/>
      <c r="AC162" s="1315"/>
      <c r="AD162" s="1315"/>
      <c r="AE162" s="1315"/>
      <c r="AF162" s="1315"/>
      <c r="AG162" s="1315"/>
      <c r="AH162" s="1315"/>
      <c r="AI162" s="1315"/>
      <c r="AJ162" s="1315"/>
      <c r="AK162" s="1315"/>
    </row>
    <row s="2983" customFormat="1" customHeight="1" ht="17.25">
      <c r="A163" s="1896"/>
      <c r="C163" s="1901"/>
      <c r="D163" s="1886"/>
      <c r="E163" s="1903"/>
      <c r="F163" s="1840"/>
      <c r="G163" s="1904"/>
      <c r="H163" s="2559"/>
      <c r="I163" s="2559"/>
      <c r="J163" s="2589"/>
      <c r="K163" s="2168"/>
      <c r="L163" s="373"/>
      <c r="M163" s="374"/>
      <c r="N163" s="374" t="s">
        <v>359</v>
      </c>
      <c r="O163" s="374"/>
      <c r="P163" s="374"/>
      <c r="Q163" s="374"/>
      <c r="R163" s="374"/>
      <c r="S163" s="1902"/>
      <c r="T163" s="1902"/>
      <c r="U163" s="1902"/>
      <c r="V163" s="1902"/>
      <c r="W163" s="375"/>
      <c r="Y163" s="1315"/>
      <c r="Z163" s="1315"/>
      <c r="AA163" s="1315"/>
      <c r="AB163" s="1315"/>
      <c r="AC163" s="1315"/>
      <c r="AD163" s="1315"/>
      <c r="AE163" s="1315"/>
      <c r="AF163" s="1315"/>
      <c r="AG163" s="1315"/>
      <c r="AH163" s="1315"/>
      <c r="AI163" s="1315"/>
      <c r="AJ163" s="1315"/>
      <c r="AK163" s="1315"/>
    </row>
    <row customHeight="1" ht="17.25">
      <c r="G164" s="1895"/>
      <c r="H164" s="1895"/>
      <c r="I164" s="1895"/>
      <c r="M164" s="1891"/>
    </row>
    <row s="2983" customFormat="1" customHeight="1" ht="17.25">
      <c r="A165" s="1896"/>
      <c r="C165" s="1898"/>
      <c r="D165" s="1886"/>
      <c r="E165" s="1903"/>
      <c r="F165" s="1840"/>
      <c r="G165" s="1904"/>
      <c r="H165" s="1886"/>
      <c r="I165" s="1886"/>
      <c r="J165" s="1905"/>
      <c r="K165" s="1816"/>
      <c r="L165" s="2164"/>
      <c r="M165" s="2164" t="s">
        <v>191</v>
      </c>
      <c r="N165" s="2560" t="str">
        <f>IF(Z165="","",INDEX(TERRITORY_MR_LIST,MATCH(Z165,TERRITORY_LIST_ID,0)))</f>
        <v/>
      </c>
      <c r="O165" s="2241" t="s">
        <v>65</v>
      </c>
      <c r="P165" s="2164"/>
      <c r="Q165" s="2164" t="s">
        <v>191</v>
      </c>
      <c r="R165" s="2558" t="s">
        <v>28</v>
      </c>
      <c r="S165" s="2163" t="s">
        <v>65</v>
      </c>
      <c r="T165" s="1867"/>
      <c r="U165" s="1867" t="s">
        <v>191</v>
      </c>
      <c r="V165" s="1899" t="s">
        <v>28</v>
      </c>
      <c r="W165" s="1857"/>
      <c r="Y165" s="1323"/>
      <c r="Z165" s="1323"/>
      <c r="AA165" s="1323"/>
      <c r="AB165" s="1323"/>
      <c r="AC165" s="1323"/>
      <c r="AD165" s="1323"/>
      <c r="AE165" s="1323"/>
      <c r="AF165" s="1323"/>
      <c r="AG165" s="1323"/>
      <c r="AH165" s="1323"/>
      <c r="AI165" s="1323"/>
      <c r="AJ165" s="1323"/>
      <c r="AK165" s="1323"/>
      <c r="AL165" s="1900"/>
      <c r="AM165" s="1900"/>
      <c r="AN165" s="1323"/>
      <c r="AO165" s="1323"/>
      <c r="AP165" s="1323"/>
      <c r="AQ165" s="1323"/>
    </row>
    <row s="2983" customFormat="1" customHeight="1" ht="17.25">
      <c r="A166" s="1896"/>
      <c r="C166" s="1901"/>
      <c r="D166" s="1886"/>
      <c r="E166" s="1903"/>
      <c r="F166" s="1840"/>
      <c r="G166" s="1904"/>
      <c r="H166" s="1886"/>
      <c r="I166" s="1886"/>
      <c r="J166" s="1905"/>
      <c r="K166" s="1816"/>
      <c r="L166" s="2164"/>
      <c r="M166" s="2164"/>
      <c r="N166" s="2560"/>
      <c r="O166" s="2242"/>
      <c r="P166" s="2164"/>
      <c r="Q166" s="2164"/>
      <c r="R166" s="2558"/>
      <c r="S166" s="2163"/>
      <c r="T166" s="373"/>
      <c r="U166" s="374"/>
      <c r="V166" s="374" t="s">
        <v>546</v>
      </c>
      <c r="W166" s="375"/>
      <c r="Y166" s="1315"/>
      <c r="Z166" s="1315"/>
      <c r="AA166" s="1315"/>
      <c r="AB166" s="1315"/>
      <c r="AC166" s="1315"/>
      <c r="AD166" s="1315"/>
      <c r="AE166" s="1315"/>
      <c r="AF166" s="1315"/>
      <c r="AG166" s="1315"/>
      <c r="AH166" s="1315"/>
      <c r="AI166" s="1315"/>
      <c r="AJ166" s="1315"/>
      <c r="AK166" s="1315"/>
    </row>
    <row s="2983" customFormat="1" customHeight="1" ht="17.25">
      <c r="A167" s="1896"/>
      <c r="C167" s="1901"/>
      <c r="D167" s="1886"/>
      <c r="E167" s="1903"/>
      <c r="F167" s="1840"/>
      <c r="G167" s="1904"/>
      <c r="H167" s="1886"/>
      <c r="I167" s="1886"/>
      <c r="J167" s="1905"/>
      <c r="K167" s="1816"/>
      <c r="L167" s="2559"/>
      <c r="M167" s="2559"/>
      <c r="N167" s="2561"/>
      <c r="O167" s="2168"/>
      <c r="P167" s="373"/>
      <c r="Q167" s="374"/>
      <c r="R167" s="374" t="s">
        <v>302</v>
      </c>
      <c r="S167" s="1902"/>
      <c r="T167" s="1902"/>
      <c r="U167" s="1902"/>
      <c r="V167" s="1902"/>
      <c r="W167" s="375"/>
      <c r="Y167" s="1315"/>
      <c r="Z167" s="1315"/>
      <c r="AA167" s="1315"/>
      <c r="AB167" s="1315"/>
      <c r="AC167" s="1315"/>
      <c r="AD167" s="1315"/>
      <c r="AE167" s="1315"/>
      <c r="AF167" s="1315"/>
      <c r="AG167" s="1315"/>
      <c r="AH167" s="1315"/>
      <c r="AI167" s="1315"/>
      <c r="AJ167" s="1315"/>
      <c r="AK167" s="1315"/>
    </row>
    <row customHeight="1" ht="17.25">
      <c r="G168" s="1895"/>
      <c r="H168" s="1895"/>
      <c r="I168" s="1895"/>
      <c r="M168" s="1891"/>
    </row>
    <row s="2983" customFormat="1" customHeight="1" ht="17.25">
      <c r="A169" s="1896"/>
      <c r="C169" s="1898"/>
      <c r="D169" s="1886"/>
      <c r="E169" s="1903"/>
      <c r="F169" s="1840"/>
      <c r="G169" s="1904"/>
      <c r="H169" s="1886"/>
      <c r="I169" s="1886"/>
      <c r="J169" s="1905"/>
      <c r="K169" s="1816"/>
      <c r="L169" s="1812"/>
      <c r="M169" s="1812"/>
      <c r="N169" s="2104"/>
      <c r="O169" s="1843"/>
      <c r="P169" s="2164"/>
      <c r="Q169" s="2164" t="s">
        <v>191</v>
      </c>
      <c r="R169" s="2558" t="s">
        <v>28</v>
      </c>
      <c r="S169" s="2163" t="s">
        <v>65</v>
      </c>
      <c r="T169" s="1867"/>
      <c r="U169" s="1867" t="s">
        <v>191</v>
      </c>
      <c r="V169" s="1899" t="s">
        <v>28</v>
      </c>
      <c r="W169" s="1857"/>
      <c r="Y169" s="1323"/>
      <c r="Z169" s="1323"/>
      <c r="AA169" s="1323"/>
      <c r="AB169" s="1323"/>
      <c r="AC169" s="1323"/>
      <c r="AD169" s="1323"/>
      <c r="AE169" s="1323"/>
      <c r="AF169" s="1323"/>
      <c r="AG169" s="1323"/>
      <c r="AH169" s="1323"/>
      <c r="AI169" s="1323"/>
      <c r="AJ169" s="1323"/>
      <c r="AK169" s="1323"/>
      <c r="AL169" s="1900"/>
      <c r="AM169" s="1900"/>
      <c r="AN169" s="1323"/>
      <c r="AO169" s="1323"/>
      <c r="AP169" s="1323"/>
      <c r="AQ169" s="1323"/>
    </row>
    <row s="2983" customFormat="1" customHeight="1" ht="17.25">
      <c r="A170" s="1896"/>
      <c r="C170" s="1901"/>
      <c r="D170" s="1886"/>
      <c r="E170" s="1903"/>
      <c r="F170" s="1840"/>
      <c r="G170" s="1904"/>
      <c r="H170" s="1886"/>
      <c r="I170" s="1886"/>
      <c r="J170" s="1905"/>
      <c r="K170" s="1816"/>
      <c r="L170" s="1812"/>
      <c r="M170" s="1812"/>
      <c r="N170" s="2104"/>
      <c r="O170" s="1843"/>
      <c r="P170" s="2164"/>
      <c r="Q170" s="2164"/>
      <c r="R170" s="2558"/>
      <c r="S170" s="2163"/>
      <c r="T170" s="373"/>
      <c r="U170" s="374"/>
      <c r="V170" s="374" t="s">
        <v>546</v>
      </c>
      <c r="W170" s="375"/>
      <c r="Y170" s="1315"/>
      <c r="Z170" s="1315"/>
      <c r="AA170" s="1315"/>
      <c r="AB170" s="1315"/>
      <c r="AC170" s="1315"/>
      <c r="AD170" s="1315"/>
      <c r="AE170" s="1315"/>
      <c r="AF170" s="1315"/>
      <c r="AG170" s="1315"/>
      <c r="AH170" s="1315"/>
      <c r="AI170" s="1315"/>
      <c r="AJ170" s="1315"/>
      <c r="AK170" s="1315"/>
    </row>
    <row customHeight="1" ht="17.25">
      <c r="G171" s="1895"/>
      <c r="H171" s="1895"/>
      <c r="I171" s="1895"/>
      <c r="M171" s="1891"/>
    </row>
    <row s="2983" customFormat="1" customHeight="1" ht="17.25">
      <c r="A172" s="1896"/>
      <c r="C172" s="1898"/>
      <c r="D172" s="1886"/>
      <c r="E172" s="1903"/>
      <c r="F172" s="1840"/>
      <c r="G172" s="1904"/>
      <c r="H172" s="1812"/>
      <c r="I172" s="1812"/>
      <c r="J172" s="1813"/>
      <c r="K172" s="1904"/>
      <c r="L172" s="1812"/>
      <c r="M172" s="1812"/>
      <c r="N172" s="1904"/>
      <c r="O172" s="1904"/>
      <c r="P172" s="1812"/>
      <c r="Q172" s="1812"/>
      <c r="R172" s="1814"/>
      <c r="S172" s="1904"/>
      <c r="T172" s="1867"/>
      <c r="U172" s="1867" t="s">
        <v>191</v>
      </c>
      <c r="V172" s="1899" t="s">
        <v>28</v>
      </c>
      <c r="W172" s="1857"/>
      <c r="Y172" s="1323"/>
      <c r="Z172" s="1323"/>
      <c r="AA172" s="1323"/>
      <c r="AB172" s="1323"/>
      <c r="AC172" s="1323"/>
      <c r="AD172" s="1323"/>
      <c r="AE172" s="1323"/>
      <c r="AF172" s="1323"/>
      <c r="AG172" s="1323"/>
      <c r="AH172" s="1323"/>
      <c r="AI172" s="1323"/>
      <c r="AJ172" s="1323"/>
      <c r="AK172" s="1323"/>
      <c r="AL172" s="1900"/>
      <c r="AM172" s="1900"/>
      <c r="AN172" s="1323"/>
      <c r="AO172" s="1323"/>
      <c r="AP172" s="1323"/>
      <c r="AQ172" s="1323"/>
    </row>
    <row r="174" s="13261" customFormat="1" customHeight="1" ht="17.25">
      <c r="A174" s="1871" t="s">
        <v>2075</v>
      </c>
    </row>
    <row customHeight="1" ht="17.25">
      <c r="G175" s="1895"/>
      <c r="H175" s="1895"/>
      <c r="I175" s="1895"/>
      <c r="M175" s="1891"/>
    </row>
    <row s="2983" customFormat="1" customHeight="1" ht="17.25">
      <c r="A176" s="1896"/>
      <c r="C176" s="1898"/>
      <c r="D176" s="2585"/>
      <c r="E176" s="2199"/>
      <c r="F176" s="2201"/>
      <c r="G176" s="2587"/>
      <c r="H176" s="2585"/>
      <c r="I176" s="2585">
        <v>1</v>
      </c>
      <c r="J176" s="2557"/>
      <c r="K176" s="2241" t="s">
        <v>65</v>
      </c>
      <c r="L176" s="2164"/>
      <c r="M176" s="2164" t="s">
        <v>191</v>
      </c>
      <c r="N176" s="2560" t="str">
        <f>IF(Z176="","",INDEX(TERRITORY_MR_LIST,MATCH(Z176,TERRITORY_LIST_ID,0)))</f>
        <v/>
      </c>
      <c r="O176" s="2241" t="s">
        <v>65</v>
      </c>
      <c r="P176" s="2164"/>
      <c r="Q176" s="2164" t="s">
        <v>191</v>
      </c>
      <c r="R176" s="2558" t="s">
        <v>28</v>
      </c>
      <c r="S176" s="2462" t="s">
        <v>19</v>
      </c>
      <c r="T176" s="1858"/>
      <c r="U176" s="1858" t="s">
        <v>191</v>
      </c>
      <c r="V176" s="1490"/>
      <c r="W176" s="2557"/>
      <c r="Y176" s="1323"/>
      <c r="Z176" s="1323"/>
      <c r="AA176" s="1323"/>
      <c r="AB176" s="1323"/>
      <c r="AC176" s="1323"/>
      <c r="AD176" s="1323"/>
      <c r="AE176" s="1323"/>
      <c r="AF176" s="1323"/>
      <c r="AG176" s="1323"/>
      <c r="AH176" s="1323"/>
      <c r="AI176" s="1323"/>
      <c r="AJ176" s="1323"/>
      <c r="AK176" s="1323"/>
      <c r="AL176" s="1900"/>
      <c r="AM176" s="1900"/>
      <c r="AN176" s="1323"/>
      <c r="AO176" s="1323"/>
      <c r="AP176" s="1323"/>
      <c r="AQ176" s="1323"/>
    </row>
    <row s="2983" customFormat="1" customHeight="1" ht="17.25">
      <c r="A177" s="1896"/>
      <c r="C177" s="1901"/>
      <c r="D177" s="2585"/>
      <c r="E177" s="2199"/>
      <c r="F177" s="2202"/>
      <c r="G177" s="2587"/>
      <c r="H177" s="2585"/>
      <c r="I177" s="2585"/>
      <c r="J177" s="2557"/>
      <c r="K177" s="2242"/>
      <c r="L177" s="2164"/>
      <c r="M177" s="2164"/>
      <c r="N177" s="2560"/>
      <c r="O177" s="2242"/>
      <c r="P177" s="2164"/>
      <c r="Q177" s="2164"/>
      <c r="R177" s="2558"/>
      <c r="S177" s="2462"/>
      <c r="T177" s="1491"/>
      <c r="U177" s="1492"/>
      <c r="V177" s="1492"/>
      <c r="W177" s="2557"/>
      <c r="Y177" s="1315"/>
      <c r="Z177" s="1315"/>
      <c r="AA177" s="1315"/>
      <c r="AB177" s="1315"/>
      <c r="AC177" s="1315"/>
      <c r="AD177" s="1315"/>
      <c r="AE177" s="1315"/>
      <c r="AF177" s="1315"/>
      <c r="AG177" s="1315"/>
      <c r="AH177" s="1315"/>
      <c r="AI177" s="1315"/>
      <c r="AJ177" s="1315"/>
      <c r="AK177" s="1315"/>
    </row>
    <row s="2983" customFormat="1" customHeight="1" ht="17.25">
      <c r="A178" s="1896"/>
      <c r="C178" s="1901"/>
      <c r="D178" s="2559"/>
      <c r="E178" s="2586"/>
      <c r="F178" s="2202"/>
      <c r="G178" s="2588"/>
      <c r="H178" s="2559"/>
      <c r="I178" s="2559"/>
      <c r="J178" s="2589"/>
      <c r="K178" s="2242"/>
      <c r="L178" s="2559"/>
      <c r="M178" s="2559"/>
      <c r="N178" s="2561"/>
      <c r="O178" s="2168"/>
      <c r="P178" s="373"/>
      <c r="Q178" s="374"/>
      <c r="R178" s="374" t="s">
        <v>302</v>
      </c>
      <c r="S178" s="1902"/>
      <c r="T178" s="1902"/>
      <c r="U178" s="1902"/>
      <c r="V178" s="1902"/>
      <c r="W178" s="1489"/>
      <c r="Y178" s="1315"/>
      <c r="Z178" s="1315"/>
      <c r="AA178" s="1315"/>
      <c r="AB178" s="1315"/>
      <c r="AC178" s="1315"/>
      <c r="AD178" s="1315"/>
      <c r="AE178" s="1315"/>
      <c r="AF178" s="1315"/>
      <c r="AG178" s="1315"/>
      <c r="AH178" s="1315"/>
      <c r="AI178" s="1315"/>
      <c r="AJ178" s="1315"/>
      <c r="AK178" s="1315"/>
    </row>
    <row s="2983" customFormat="1" customHeight="1" ht="17.25">
      <c r="A179" s="1896"/>
      <c r="C179" s="1901"/>
      <c r="D179" s="2559"/>
      <c r="E179" s="2586"/>
      <c r="F179" s="2202"/>
      <c r="G179" s="2588"/>
      <c r="H179" s="2559"/>
      <c r="I179" s="2559"/>
      <c r="J179" s="2589"/>
      <c r="K179" s="2168"/>
      <c r="L179" s="373"/>
      <c r="M179" s="374"/>
      <c r="N179" s="374" t="s">
        <v>359</v>
      </c>
      <c r="O179" s="374"/>
      <c r="P179" s="374"/>
      <c r="Q179" s="374"/>
      <c r="R179" s="374"/>
      <c r="S179" s="1902"/>
      <c r="T179" s="1902"/>
      <c r="U179" s="1902"/>
      <c r="V179" s="1902"/>
      <c r="W179" s="375"/>
      <c r="Y179" s="1315"/>
      <c r="Z179" s="1315"/>
      <c r="AA179" s="1315"/>
      <c r="AB179" s="1315"/>
      <c r="AC179" s="1315"/>
      <c r="AD179" s="1315"/>
      <c r="AE179" s="1315"/>
      <c r="AF179" s="1315"/>
      <c r="AG179" s="1315"/>
      <c r="AH179" s="1315"/>
      <c r="AI179" s="1315"/>
      <c r="AJ179" s="1315"/>
      <c r="AK179" s="1315"/>
    </row>
    <row s="2983" customFormat="1" customHeight="1" ht="17.25">
      <c r="A180" s="1896"/>
      <c r="C180" s="1901"/>
      <c r="D180" s="2559"/>
      <c r="E180" s="2586"/>
      <c r="F180" s="2203"/>
      <c r="G180" s="2588"/>
      <c r="H180" s="373"/>
      <c r="I180" s="374"/>
      <c r="J180" s="374" t="s">
        <v>360</v>
      </c>
      <c r="K180" s="374"/>
      <c r="L180" s="374"/>
      <c r="M180" s="374"/>
      <c r="N180" s="374"/>
      <c r="O180" s="374"/>
      <c r="P180" s="374"/>
      <c r="Q180" s="374"/>
      <c r="R180" s="374"/>
      <c r="S180" s="1902"/>
      <c r="T180" s="1902"/>
      <c r="U180" s="1902"/>
      <c r="V180" s="1902"/>
      <c r="W180" s="375"/>
      <c r="Y180" s="1315"/>
      <c r="Z180" s="1315"/>
      <c r="AA180" s="1315"/>
      <c r="AB180" s="1315"/>
      <c r="AC180" s="1315"/>
      <c r="AD180" s="1315"/>
      <c r="AE180" s="1315"/>
      <c r="AF180" s="1315"/>
      <c r="AG180" s="1315"/>
      <c r="AH180" s="1315"/>
      <c r="AI180" s="1315"/>
      <c r="AJ180" s="1315"/>
      <c r="AK180" s="1315"/>
    </row>
    <row customHeight="1" ht="17.25">
      <c r="A181" s="1906"/>
    </row>
    <row s="2983" customFormat="1" customHeight="1" ht="17.25">
      <c r="A182" s="1896"/>
      <c r="C182" s="1898"/>
      <c r="D182" s="1886"/>
      <c r="E182" s="1903"/>
      <c r="F182" s="1840"/>
      <c r="G182" s="1904"/>
      <c r="H182" s="2585"/>
      <c r="I182" s="2585">
        <v>1</v>
      </c>
      <c r="J182" s="2557"/>
      <c r="K182" s="2241" t="s">
        <v>65</v>
      </c>
      <c r="L182" s="2164"/>
      <c r="M182" s="2164" t="s">
        <v>191</v>
      </c>
      <c r="N182" s="2560" t="str">
        <f>IF(Z182="","",INDEX(TERRITORY_MR_LIST,MATCH(Z182,TERRITORY_LIST_ID,0)))</f>
        <v/>
      </c>
      <c r="O182" s="2241" t="s">
        <v>65</v>
      </c>
      <c r="P182" s="2164"/>
      <c r="Q182" s="2164" t="s">
        <v>191</v>
      </c>
      <c r="R182" s="2558" t="s">
        <v>28</v>
      </c>
      <c r="S182" s="2462" t="s">
        <v>19</v>
      </c>
      <c r="T182" s="1858"/>
      <c r="U182" s="1858" t="s">
        <v>191</v>
      </c>
      <c r="V182" s="1490"/>
      <c r="W182" s="2557"/>
      <c r="Y182" s="1323"/>
      <c r="Z182" s="1323"/>
      <c r="AA182" s="1323"/>
      <c r="AB182" s="1323"/>
      <c r="AC182" s="1323"/>
      <c r="AD182" s="1323"/>
      <c r="AE182" s="1323"/>
      <c r="AF182" s="1323"/>
      <c r="AG182" s="1323"/>
      <c r="AH182" s="1323"/>
      <c r="AI182" s="1323"/>
      <c r="AJ182" s="1323"/>
      <c r="AK182" s="1323"/>
      <c r="AL182" s="1900"/>
      <c r="AM182" s="1900"/>
      <c r="AN182" s="1323"/>
      <c r="AO182" s="1323"/>
      <c r="AP182" s="1323"/>
      <c r="AQ182" s="1323"/>
    </row>
    <row s="2983" customFormat="1" customHeight="1" ht="17.25">
      <c r="A183" s="1896"/>
      <c r="C183" s="1901"/>
      <c r="D183" s="1886"/>
      <c r="E183" s="1903"/>
      <c r="F183" s="1840"/>
      <c r="G183" s="1904"/>
      <c r="H183" s="2585"/>
      <c r="I183" s="2585"/>
      <c r="J183" s="2557"/>
      <c r="K183" s="2242"/>
      <c r="L183" s="2164"/>
      <c r="M183" s="2164"/>
      <c r="N183" s="2560"/>
      <c r="O183" s="2242"/>
      <c r="P183" s="2164"/>
      <c r="Q183" s="2164"/>
      <c r="R183" s="2558"/>
      <c r="S183" s="2462"/>
      <c r="T183" s="1491"/>
      <c r="U183" s="1492"/>
      <c r="V183" s="1492"/>
      <c r="W183" s="2557"/>
      <c r="Y183" s="1315"/>
      <c r="Z183" s="1315"/>
      <c r="AA183" s="1315"/>
      <c r="AB183" s="1315"/>
      <c r="AC183" s="1315"/>
      <c r="AD183" s="1315"/>
      <c r="AE183" s="1315"/>
      <c r="AF183" s="1315"/>
      <c r="AG183" s="1315"/>
      <c r="AH183" s="1315"/>
      <c r="AI183" s="1315"/>
      <c r="AJ183" s="1315"/>
      <c r="AK183" s="1315"/>
    </row>
    <row s="2983" customFormat="1" customHeight="1" ht="17.25">
      <c r="A184" s="1896"/>
      <c r="C184" s="1901"/>
      <c r="D184" s="1886"/>
      <c r="E184" s="1903"/>
      <c r="F184" s="1840"/>
      <c r="G184" s="1904"/>
      <c r="H184" s="2559"/>
      <c r="I184" s="2559"/>
      <c r="J184" s="2589"/>
      <c r="K184" s="2242"/>
      <c r="L184" s="2559"/>
      <c r="M184" s="2559"/>
      <c r="N184" s="2561"/>
      <c r="O184" s="2168"/>
      <c r="P184" s="373"/>
      <c r="Q184" s="374"/>
      <c r="R184" s="374" t="s">
        <v>302</v>
      </c>
      <c r="S184" s="1902"/>
      <c r="T184" s="1902"/>
      <c r="U184" s="1902"/>
      <c r="V184" s="1902"/>
      <c r="W184" s="1489"/>
      <c r="Y184" s="1315"/>
      <c r="Z184" s="1315"/>
      <c r="AA184" s="1315"/>
      <c r="AB184" s="1315"/>
      <c r="AC184" s="1315"/>
      <c r="AD184" s="1315"/>
      <c r="AE184" s="1315"/>
      <c r="AF184" s="1315"/>
      <c r="AG184" s="1315"/>
      <c r="AH184" s="1315"/>
      <c r="AI184" s="1315"/>
      <c r="AJ184" s="1315"/>
      <c r="AK184" s="1315"/>
    </row>
    <row s="2983" customFormat="1" customHeight="1" ht="17.25">
      <c r="A185" s="1896"/>
      <c r="C185" s="1901"/>
      <c r="D185" s="1886"/>
      <c r="E185" s="1903"/>
      <c r="F185" s="1840"/>
      <c r="G185" s="1904"/>
      <c r="H185" s="2559"/>
      <c r="I185" s="2559"/>
      <c r="J185" s="2589"/>
      <c r="K185" s="2168"/>
      <c r="L185" s="373"/>
      <c r="M185" s="374"/>
      <c r="N185" s="374" t="s">
        <v>359</v>
      </c>
      <c r="O185" s="374"/>
      <c r="P185" s="374"/>
      <c r="Q185" s="374"/>
      <c r="R185" s="374"/>
      <c r="S185" s="1902"/>
      <c r="T185" s="1902"/>
      <c r="U185" s="1902"/>
      <c r="V185" s="1902"/>
      <c r="W185" s="375"/>
      <c r="Y185" s="1315"/>
      <c r="Z185" s="1315"/>
      <c r="AA185" s="1315"/>
      <c r="AB185" s="1315"/>
      <c r="AC185" s="1315"/>
      <c r="AD185" s="1315"/>
      <c r="AE185" s="1315"/>
      <c r="AF185" s="1315"/>
      <c r="AG185" s="1315"/>
      <c r="AH185" s="1315"/>
      <c r="AI185" s="1315"/>
      <c r="AJ185" s="1315"/>
      <c r="AK185" s="1315"/>
    </row>
    <row customHeight="1" ht="17.25">
      <c r="A186" s="1906"/>
    </row>
    <row s="2983" customFormat="1" customHeight="1" ht="17.25">
      <c r="A187" s="1896"/>
      <c r="C187" s="1898"/>
      <c r="D187" s="1886"/>
      <c r="E187" s="1903"/>
      <c r="F187" s="1840"/>
      <c r="G187" s="1904"/>
      <c r="H187" s="1886"/>
      <c r="I187" s="1886"/>
      <c r="J187" s="1907"/>
      <c r="K187" s="1904"/>
      <c r="L187" s="2164"/>
      <c r="M187" s="2164" t="s">
        <v>191</v>
      </c>
      <c r="N187" s="2560" t="str">
        <f>IF(Z187="","",INDEX(TERRITORY_MR_LIST,MATCH(Z187,TERRITORY_LIST_ID,0)))</f>
        <v/>
      </c>
      <c r="O187" s="2241" t="s">
        <v>65</v>
      </c>
      <c r="P187" s="2164"/>
      <c r="Q187" s="2164" t="s">
        <v>191</v>
      </c>
      <c r="R187" s="2558" t="s">
        <v>28</v>
      </c>
      <c r="S187" s="2462" t="s">
        <v>19</v>
      </c>
      <c r="T187" s="1858"/>
      <c r="U187" s="1858" t="s">
        <v>191</v>
      </c>
      <c r="V187" s="1490"/>
      <c r="W187" s="2557"/>
      <c r="Y187" s="1323"/>
      <c r="Z187" s="1323"/>
      <c r="AA187" s="1323"/>
      <c r="AB187" s="1323"/>
      <c r="AC187" s="1323"/>
      <c r="AD187" s="1323"/>
      <c r="AE187" s="1323"/>
      <c r="AF187" s="1323"/>
      <c r="AG187" s="1323"/>
      <c r="AH187" s="1323"/>
      <c r="AI187" s="1323"/>
      <c r="AJ187" s="1323"/>
      <c r="AK187" s="1323"/>
      <c r="AL187" s="1900"/>
      <c r="AM187" s="1900"/>
      <c r="AN187" s="1323"/>
      <c r="AO187" s="1323"/>
      <c r="AP187" s="1323"/>
      <c r="AQ187" s="1323"/>
    </row>
    <row s="2983" customFormat="1" customHeight="1" ht="17.25">
      <c r="A188" s="1896"/>
      <c r="C188" s="1901"/>
      <c r="D188" s="1886"/>
      <c r="E188" s="1903"/>
      <c r="F188" s="1840"/>
      <c r="G188" s="1904"/>
      <c r="H188" s="1886"/>
      <c r="I188" s="1886"/>
      <c r="J188" s="1907"/>
      <c r="K188" s="1904"/>
      <c r="L188" s="2164"/>
      <c r="M188" s="2164"/>
      <c r="N188" s="2560"/>
      <c r="O188" s="2242"/>
      <c r="P188" s="2164"/>
      <c r="Q188" s="2164"/>
      <c r="R188" s="2558"/>
      <c r="S188" s="2462"/>
      <c r="T188" s="1491"/>
      <c r="U188" s="1492"/>
      <c r="V188" s="1492"/>
      <c r="W188" s="2557"/>
      <c r="Y188" s="1315"/>
      <c r="Z188" s="1315"/>
      <c r="AA188" s="1315"/>
      <c r="AB188" s="1315"/>
      <c r="AC188" s="1315"/>
      <c r="AD188" s="1315"/>
      <c r="AE188" s="1315"/>
      <c r="AF188" s="1315"/>
      <c r="AG188" s="1315"/>
      <c r="AH188" s="1315"/>
      <c r="AI188" s="1315"/>
      <c r="AJ188" s="1315"/>
      <c r="AK188" s="1315"/>
    </row>
    <row s="2983" customFormat="1" customHeight="1" ht="17.25">
      <c r="A189" s="1896"/>
      <c r="C189" s="1901"/>
      <c r="D189" s="1886"/>
      <c r="E189" s="1903"/>
      <c r="F189" s="1840"/>
      <c r="G189" s="1904"/>
      <c r="H189" s="1886"/>
      <c r="I189" s="1886"/>
      <c r="J189" s="1907"/>
      <c r="K189" s="1904"/>
      <c r="L189" s="2559"/>
      <c r="M189" s="2559"/>
      <c r="N189" s="2561"/>
      <c r="O189" s="2168"/>
      <c r="P189" s="373"/>
      <c r="Q189" s="374"/>
      <c r="R189" s="374" t="s">
        <v>302</v>
      </c>
      <c r="S189" s="1902"/>
      <c r="T189" s="1902"/>
      <c r="U189" s="1902"/>
      <c r="V189" s="1902"/>
      <c r="W189" s="1489"/>
      <c r="Y189" s="1315"/>
      <c r="Z189" s="1315"/>
      <c r="AA189" s="1315"/>
      <c r="AB189" s="1315"/>
      <c r="AC189" s="1315"/>
      <c r="AD189" s="1315"/>
      <c r="AE189" s="1315"/>
      <c r="AF189" s="1315"/>
      <c r="AG189" s="1315"/>
      <c r="AH189" s="1315"/>
      <c r="AI189" s="1315"/>
      <c r="AJ189" s="1315"/>
      <c r="AK189" s="1315"/>
    </row>
    <row customHeight="1" ht="17.25">
      <c r="A190" s="1906"/>
    </row>
    <row s="2983" customFormat="1" customHeight="1" ht="17.25">
      <c r="A191" s="1896"/>
      <c r="C191" s="1898"/>
      <c r="D191" s="1886"/>
      <c r="E191" s="1903"/>
      <c r="F191" s="1840"/>
      <c r="G191" s="1904"/>
      <c r="H191" s="1886"/>
      <c r="I191" s="1886"/>
      <c r="J191" s="1907"/>
      <c r="K191" s="1904"/>
      <c r="L191" s="1886"/>
      <c r="M191" s="1886"/>
      <c r="N191" s="2104"/>
      <c r="O191" s="1843"/>
      <c r="P191" s="2164"/>
      <c r="Q191" s="2164" t="s">
        <v>191</v>
      </c>
      <c r="R191" s="2558" t="s">
        <v>28</v>
      </c>
      <c r="S191" s="2462" t="s">
        <v>19</v>
      </c>
      <c r="T191" s="1858"/>
      <c r="U191" s="1858" t="s">
        <v>191</v>
      </c>
      <c r="V191" s="1490"/>
      <c r="W191" s="2557"/>
      <c r="Y191" s="1323"/>
      <c r="Z191" s="1323"/>
      <c r="AA191" s="1323"/>
      <c r="AB191" s="1323"/>
      <c r="AC191" s="1323"/>
      <c r="AD191" s="1323"/>
      <c r="AE191" s="1323"/>
      <c r="AF191" s="1323"/>
      <c r="AG191" s="1323"/>
      <c r="AH191" s="1323"/>
      <c r="AI191" s="1323"/>
      <c r="AJ191" s="1323"/>
      <c r="AK191" s="1323"/>
      <c r="AL191" s="1900"/>
      <c r="AM191" s="1900"/>
      <c r="AN191" s="1323"/>
      <c r="AO191" s="1323"/>
      <c r="AP191" s="1323"/>
      <c r="AQ191" s="1323"/>
    </row>
    <row s="2983" customFormat="1" customHeight="1" ht="17.25">
      <c r="A192" s="1896"/>
      <c r="C192" s="1901"/>
      <c r="D192" s="1886"/>
      <c r="E192" s="1903"/>
      <c r="F192" s="1840"/>
      <c r="G192" s="1904"/>
      <c r="H192" s="1886"/>
      <c r="I192" s="1886"/>
      <c r="J192" s="1907"/>
      <c r="K192" s="1904"/>
      <c r="L192" s="1886"/>
      <c r="M192" s="1886"/>
      <c r="N192" s="2104"/>
      <c r="O192" s="1843"/>
      <c r="P192" s="2164"/>
      <c r="Q192" s="2164"/>
      <c r="R192" s="2558"/>
      <c r="S192" s="2462"/>
      <c r="T192" s="1491"/>
      <c r="U192" s="1492"/>
      <c r="V192" s="1492"/>
      <c r="W192" s="2557"/>
      <c r="Y192" s="1315"/>
      <c r="Z192" s="1315"/>
      <c r="AA192" s="1315"/>
      <c r="AB192" s="1315"/>
      <c r="AC192" s="1315"/>
      <c r="AD192" s="1315"/>
      <c r="AE192" s="1315"/>
      <c r="AF192" s="1315"/>
      <c r="AG192" s="1315"/>
      <c r="AH192" s="1315"/>
      <c r="AI192" s="1315"/>
      <c r="AJ192" s="1315"/>
      <c r="AK192" s="1315"/>
    </row>
    <row customHeight="1" ht="17.25">
      <c r="A193" s="1906"/>
    </row>
    <row customHeight="1" ht="16.5">
      <c r="A194" s="1896"/>
      <c r="B194" s="1897"/>
      <c r="C194" s="1901"/>
      <c r="D194" s="2609"/>
      <c r="E194" s="2235"/>
      <c r="F194" s="2235"/>
      <c r="G194" s="2183"/>
      <c r="H194" s="2610"/>
      <c r="I194" s="2623"/>
      <c r="J194" s="2208"/>
      <c r="K194" s="2193"/>
      <c r="L194" s="2193"/>
      <c r="M194" s="2193"/>
      <c r="N194" s="2621"/>
      <c r="O194" s="2193"/>
      <c r="P194" s="2193"/>
      <c r="Q194" s="2193"/>
      <c r="R194" s="2619"/>
      <c r="S194" s="2193"/>
      <c r="T194" s="1839"/>
      <c r="U194" s="1839"/>
      <c r="V194" s="1908"/>
      <c r="W194" s="1352"/>
    </row>
    <row customHeight="1" ht="16.5">
      <c r="A195" s="1896"/>
      <c r="B195" s="1897"/>
      <c r="C195" s="1901"/>
      <c r="D195" s="2609"/>
      <c r="E195" s="2235"/>
      <c r="F195" s="2235"/>
      <c r="G195" s="2183"/>
      <c r="H195" s="2611"/>
      <c r="I195" s="2624"/>
      <c r="J195" s="2209"/>
      <c r="K195" s="2194"/>
      <c r="L195" s="2194"/>
      <c r="M195" s="2194"/>
      <c r="N195" s="2622"/>
      <c r="O195" s="2194"/>
      <c r="P195" s="2194"/>
      <c r="Q195" s="2194"/>
      <c r="R195" s="2620"/>
      <c r="S195" s="2194"/>
      <c r="T195" s="1353"/>
      <c r="U195" s="1353"/>
      <c r="V195" s="1353"/>
      <c r="W195" s="1354"/>
    </row>
    <row customHeight="1" ht="17.25">
      <c r="A196" s="1896"/>
      <c r="B196" s="1897"/>
      <c r="C196" s="1901"/>
      <c r="D196" s="2609"/>
      <c r="E196" s="2235"/>
      <c r="F196" s="2235"/>
      <c r="G196" s="2183"/>
      <c r="H196" s="2611"/>
      <c r="I196" s="2624"/>
      <c r="J196" s="2612"/>
      <c r="K196" s="2194"/>
      <c r="L196" s="2194"/>
      <c r="M196" s="2194"/>
      <c r="N196" s="2620"/>
      <c r="O196" s="2194"/>
      <c r="P196" s="1842"/>
      <c r="Q196" s="1353"/>
      <c r="R196" s="1353"/>
      <c r="S196" s="1909"/>
      <c r="T196" s="1909"/>
      <c r="U196" s="1909"/>
      <c r="V196" s="1909"/>
      <c r="W196" s="1354"/>
    </row>
    <row customHeight="1" ht="17.25">
      <c r="A197" s="1896"/>
      <c r="B197" s="1897"/>
      <c r="C197" s="1901"/>
      <c r="D197" s="2609"/>
      <c r="E197" s="2235"/>
      <c r="F197" s="2235"/>
      <c r="G197" s="2183"/>
      <c r="H197" s="2611"/>
      <c r="I197" s="2624"/>
      <c r="J197" s="2612"/>
      <c r="K197" s="2194"/>
      <c r="L197" s="1353"/>
      <c r="M197" s="1353"/>
      <c r="N197" s="1353"/>
      <c r="O197" s="1353"/>
      <c r="P197" s="1353"/>
      <c r="Q197" s="1353"/>
      <c r="R197" s="1353"/>
      <c r="S197" s="1909"/>
      <c r="T197" s="1909"/>
      <c r="U197" s="1909"/>
      <c r="V197" s="1909"/>
      <c r="W197" s="1354"/>
    </row>
    <row customHeight="1" ht="17.25">
      <c r="A198" s="1896"/>
      <c r="B198" s="1897"/>
      <c r="C198" s="1901"/>
      <c r="D198" s="2609"/>
      <c r="E198" s="2235"/>
      <c r="F198" s="2235"/>
      <c r="G198" s="2183"/>
      <c r="H198" s="1355"/>
      <c r="I198" s="1356"/>
      <c r="J198" s="1356"/>
      <c r="K198" s="1356"/>
      <c r="L198" s="1356"/>
      <c r="M198" s="1356"/>
      <c r="N198" s="1356"/>
      <c r="O198" s="1356"/>
      <c r="P198" s="1356"/>
      <c r="Q198" s="1356"/>
      <c r="R198" s="1356"/>
      <c r="S198" s="1910"/>
      <c r="T198" s="1910"/>
      <c r="U198" s="1910"/>
      <c r="V198" s="1910"/>
      <c r="W198" s="1358"/>
    </row>
    <row r="200" s="13261" customFormat="1" customHeight="1" ht="17.25">
      <c r="A200" s="1871" t="s">
        <v>2076</v>
      </c>
    </row>
    <row customHeight="1" ht="17.25">
      <c r="G201" s="1895"/>
      <c r="H201" s="1895"/>
      <c r="I201" s="1895"/>
      <c r="M201" s="1891"/>
    </row>
    <row s="2911" customFormat="1" customHeight="1" ht="15">
      <c r="D202" s="2579"/>
      <c r="E202" s="2255"/>
      <c r="F202" s="2255"/>
      <c r="G202" s="2241"/>
      <c r="H202" s="1620"/>
      <c r="I202" s="2583">
        <v>1</v>
      </c>
      <c r="J202" s="2557"/>
      <c r="K202" s="1635"/>
      <c r="L202" s="2241" t="s">
        <v>65</v>
      </c>
      <c r="M202" s="2241" t="s">
        <v>65</v>
      </c>
      <c r="N202" s="1620"/>
      <c r="O202" s="2164" t="s">
        <v>191</v>
      </c>
      <c r="P202" s="2573"/>
      <c r="Q202" s="1636"/>
      <c r="R202" s="2241" t="s">
        <v>65</v>
      </c>
      <c r="S202" s="2241" t="s">
        <v>65</v>
      </c>
      <c r="T202" s="1911"/>
      <c r="U202" s="2164" t="s">
        <v>191</v>
      </c>
      <c r="V202" s="2580" t="str">
        <f>IF(AK202="","",INDEX(TERRITORY_MR_LIST,MATCH(AK202,TERRITORY_LIST_ID,0)))</f>
        <v/>
      </c>
      <c r="W202" s="1637"/>
      <c r="X202" s="2241" t="s">
        <v>65</v>
      </c>
      <c r="Y202" s="2241" t="s">
        <v>19</v>
      </c>
      <c r="Z202" s="1620"/>
      <c r="AA202" s="2164" t="s">
        <v>191</v>
      </c>
      <c r="AB202" s="2582"/>
      <c r="AC202" s="1638"/>
      <c r="AD202" s="2241" t="s">
        <v>65</v>
      </c>
      <c r="AE202" s="2241" t="s">
        <v>19</v>
      </c>
      <c r="AF202" s="1618"/>
      <c r="AG202" s="1867" t="s">
        <v>191</v>
      </c>
      <c r="AH202" s="1628"/>
      <c r="AI202" s="1857"/>
    </row>
    <row s="2911" customFormat="1" customHeight="1" ht="15">
      <c r="D203" s="2579"/>
      <c r="E203" s="2255"/>
      <c r="F203" s="2255"/>
      <c r="G203" s="2242"/>
      <c r="H203" s="1620"/>
      <c r="I203" s="2583"/>
      <c r="J203" s="2557"/>
      <c r="K203" s="1619"/>
      <c r="L203" s="2242"/>
      <c r="M203" s="2242"/>
      <c r="N203" s="1620"/>
      <c r="O203" s="2164"/>
      <c r="P203" s="2573"/>
      <c r="Q203" s="1616"/>
      <c r="R203" s="2242"/>
      <c r="S203" s="2242"/>
      <c r="T203" s="1911"/>
      <c r="U203" s="2164"/>
      <c r="V203" s="2581"/>
      <c r="W203" s="1617"/>
      <c r="X203" s="2242"/>
      <c r="Y203" s="2242"/>
      <c r="Z203" s="1620"/>
      <c r="AA203" s="2164"/>
      <c r="AB203" s="2551"/>
      <c r="AC203" s="1621"/>
      <c r="AD203" s="2168"/>
      <c r="AE203" s="2168"/>
      <c r="AF203" s="1622"/>
      <c r="AG203" s="1623"/>
      <c r="AH203" s="2574" t="s">
        <v>2077</v>
      </c>
      <c r="AI203" s="2575"/>
    </row>
    <row s="2911" customFormat="1" customHeight="1" ht="15">
      <c r="D204" s="2579"/>
      <c r="E204" s="2255"/>
      <c r="F204" s="2255"/>
      <c r="G204" s="2242"/>
      <c r="H204" s="1620"/>
      <c r="I204" s="2583"/>
      <c r="J204" s="2557"/>
      <c r="K204" s="1619"/>
      <c r="L204" s="2242"/>
      <c r="M204" s="2242"/>
      <c r="N204" s="1620"/>
      <c r="O204" s="2164"/>
      <c r="P204" s="2573"/>
      <c r="Q204" s="1616"/>
      <c r="R204" s="2242"/>
      <c r="S204" s="2242"/>
      <c r="T204" s="1911"/>
      <c r="U204" s="2164"/>
      <c r="V204" s="2581"/>
      <c r="W204" s="1617"/>
      <c r="X204" s="2242"/>
      <c r="Y204" s="2242"/>
      <c r="Z204" s="1659"/>
      <c r="AA204" s="1625"/>
      <c r="AB204" s="2576" t="s">
        <v>2078</v>
      </c>
      <c r="AC204" s="2576"/>
      <c r="AD204" s="2576"/>
      <c r="AE204" s="2576"/>
      <c r="AF204" s="2576"/>
      <c r="AG204" s="2576"/>
      <c r="AH204" s="2576"/>
      <c r="AI204" s="2577"/>
    </row>
    <row s="2911" customFormat="1" customHeight="1" ht="15">
      <c r="D205" s="2579"/>
      <c r="E205" s="2255"/>
      <c r="F205" s="2255"/>
      <c r="G205" s="2242"/>
      <c r="H205" s="1620"/>
      <c r="I205" s="2583"/>
      <c r="J205" s="2557"/>
      <c r="K205" s="1619"/>
      <c r="L205" s="2242"/>
      <c r="M205" s="2242"/>
      <c r="N205" s="1620"/>
      <c r="O205" s="2164"/>
      <c r="P205" s="2578"/>
      <c r="Q205" s="1616"/>
      <c r="R205" s="2242"/>
      <c r="S205" s="2242"/>
      <c r="T205" s="1912"/>
      <c r="U205" s="1660"/>
      <c r="V205" s="2574" t="s">
        <v>185</v>
      </c>
      <c r="W205" s="2574"/>
      <c r="X205" s="2574"/>
      <c r="Y205" s="2574"/>
      <c r="Z205" s="2574"/>
      <c r="AA205" s="2574"/>
      <c r="AB205" s="2574"/>
      <c r="AC205" s="2574"/>
      <c r="AD205" s="2574"/>
      <c r="AE205" s="2574"/>
      <c r="AF205" s="2574"/>
      <c r="AG205" s="2574"/>
      <c r="AH205" s="2574"/>
      <c r="AI205" s="2575"/>
    </row>
    <row s="2911" customFormat="1" customHeight="1" ht="11.25">
      <c r="D206" s="2579"/>
      <c r="E206" s="2255"/>
      <c r="F206" s="2255"/>
      <c r="G206" s="2242"/>
      <c r="H206" s="1624"/>
      <c r="I206" s="2583"/>
      <c r="J206" s="2584"/>
      <c r="K206" s="1619"/>
      <c r="L206" s="2242"/>
      <c r="M206" s="2242"/>
      <c r="N206" s="1624"/>
      <c r="O206" s="1625"/>
      <c r="P206" s="2574" t="s">
        <v>2079</v>
      </c>
      <c r="Q206" s="2574"/>
      <c r="R206" s="2574"/>
      <c r="S206" s="2574"/>
      <c r="T206" s="2574"/>
      <c r="U206" s="2574"/>
      <c r="V206" s="2574"/>
      <c r="W206" s="2574"/>
      <c r="X206" s="2574"/>
      <c r="Y206" s="2574"/>
      <c r="Z206" s="2574"/>
      <c r="AA206" s="2574"/>
      <c r="AB206" s="2574"/>
      <c r="AC206" s="2574"/>
      <c r="AD206" s="2574"/>
      <c r="AE206" s="2574"/>
      <c r="AF206" s="2574"/>
      <c r="AG206" s="2574"/>
      <c r="AH206" s="2574"/>
      <c r="AI206" s="2575"/>
    </row>
    <row s="3247" customFormat="1" customHeight="1" ht="11.25">
      <c r="D207" s="2579"/>
      <c r="E207" s="2255"/>
      <c r="F207" s="2255"/>
      <c r="G207" s="2168"/>
      <c r="H207" s="1626"/>
      <c r="I207" s="1627"/>
      <c r="J207" s="2574" t="s">
        <v>360</v>
      </c>
      <c r="K207" s="2574"/>
      <c r="L207" s="2574"/>
      <c r="M207" s="2574"/>
      <c r="N207" s="2574"/>
      <c r="O207" s="2574"/>
      <c r="P207" s="2574"/>
      <c r="Q207" s="2574"/>
      <c r="R207" s="2574"/>
      <c r="S207" s="2574"/>
      <c r="T207" s="2574"/>
      <c r="U207" s="2574"/>
      <c r="V207" s="2574"/>
      <c r="W207" s="2574"/>
      <c r="X207" s="2574"/>
      <c r="Y207" s="2574"/>
      <c r="Z207" s="2574"/>
      <c r="AA207" s="2574"/>
      <c r="AB207" s="2574"/>
      <c r="AC207" s="2574"/>
      <c r="AD207" s="2574"/>
      <c r="AE207" s="2574"/>
      <c r="AF207" s="2574"/>
      <c r="AG207" s="2574"/>
      <c r="AH207" s="2574"/>
      <c r="AI207" s="2575"/>
      <c r="BK207" s="1630"/>
    </row>
    <row customHeight="1" ht="17.25">
      <c r="G208" s="1895"/>
      <c r="I208" s="1895"/>
      <c r="J208" s="1895"/>
      <c r="N208" s="1891"/>
    </row>
    <row s="2911" customFormat="1" customHeight="1" ht="15">
      <c r="D209" s="2579"/>
      <c r="E209" s="2255"/>
      <c r="F209" s="2255"/>
      <c r="G209" s="2235"/>
      <c r="H209" s="1655"/>
      <c r="I209" s="2237"/>
      <c r="J209" s="2208"/>
      <c r="K209" s="1841"/>
      <c r="L209" s="2193"/>
      <c r="M209" s="2193"/>
      <c r="N209" s="1640"/>
      <c r="O209" s="2193"/>
      <c r="P209" s="2208"/>
      <c r="Q209" s="1845"/>
      <c r="R209" s="2193"/>
      <c r="S209" s="2193"/>
      <c r="T209" s="1913"/>
      <c r="U209" s="2193"/>
      <c r="V209" s="2208"/>
      <c r="W209" s="1643"/>
      <c r="X209" s="2193"/>
      <c r="Y209" s="2193"/>
      <c r="Z209" s="1640"/>
      <c r="AA209" s="2193"/>
      <c r="AB209" s="2208"/>
      <c r="AC209" s="1644"/>
      <c r="AD209" s="2193"/>
      <c r="AE209" s="2193"/>
      <c r="AF209" s="1839"/>
      <c r="AG209" s="1839"/>
      <c r="AH209" s="1645"/>
      <c r="AI209" s="1352"/>
    </row>
    <row s="2911" customFormat="1" customHeight="1" ht="15">
      <c r="D210" s="2579"/>
      <c r="E210" s="2255"/>
      <c r="F210" s="2255"/>
      <c r="G210" s="2235"/>
      <c r="H210" s="1656"/>
      <c r="I210" s="2238"/>
      <c r="J210" s="2209"/>
      <c r="K210" s="1666"/>
      <c r="L210" s="2194"/>
      <c r="M210" s="2194"/>
      <c r="N210" s="1646"/>
      <c r="O210" s="2194"/>
      <c r="P210" s="2209"/>
      <c r="Q210" s="1846"/>
      <c r="R210" s="2194"/>
      <c r="S210" s="2194"/>
      <c r="T210" s="1914"/>
      <c r="U210" s="2194"/>
      <c r="V210" s="2209"/>
      <c r="W210" s="1649"/>
      <c r="X210" s="2194"/>
      <c r="Y210" s="2194"/>
      <c r="Z210" s="1646"/>
      <c r="AA210" s="2194"/>
      <c r="AB210" s="2209"/>
      <c r="AC210" s="1650"/>
      <c r="AD210" s="2194"/>
      <c r="AE210" s="2194"/>
      <c r="AF210" s="1844"/>
      <c r="AG210" s="1844"/>
      <c r="AH210" s="2233"/>
      <c r="AI210" s="2234"/>
    </row>
    <row s="2911" customFormat="1" customHeight="1" ht="15">
      <c r="D211" s="2579"/>
      <c r="E211" s="2255"/>
      <c r="F211" s="2255"/>
      <c r="G211" s="2235"/>
      <c r="H211" s="1656"/>
      <c r="I211" s="2238"/>
      <c r="J211" s="2209"/>
      <c r="K211" s="1666"/>
      <c r="L211" s="2194"/>
      <c r="M211" s="2194"/>
      <c r="N211" s="1646"/>
      <c r="O211" s="2194"/>
      <c r="P211" s="2209"/>
      <c r="Q211" s="1846"/>
      <c r="R211" s="2194"/>
      <c r="S211" s="2194"/>
      <c r="T211" s="1914"/>
      <c r="U211" s="2194"/>
      <c r="V211" s="2209"/>
      <c r="W211" s="1649"/>
      <c r="X211" s="2194"/>
      <c r="Y211" s="2194"/>
      <c r="Z211" s="1842"/>
      <c r="AA211" s="1844"/>
      <c r="AB211" s="2233"/>
      <c r="AC211" s="2233"/>
      <c r="AD211" s="2233"/>
      <c r="AE211" s="2233"/>
      <c r="AF211" s="2233"/>
      <c r="AG211" s="2233"/>
      <c r="AH211" s="2233"/>
      <c r="AI211" s="2234"/>
    </row>
    <row s="2911" customFormat="1" customHeight="1" ht="15">
      <c r="D212" s="2579"/>
      <c r="E212" s="2255"/>
      <c r="F212" s="2255"/>
      <c r="G212" s="2235"/>
      <c r="H212" s="1656"/>
      <c r="I212" s="2238"/>
      <c r="J212" s="2209"/>
      <c r="K212" s="1666"/>
      <c r="L212" s="2194"/>
      <c r="M212" s="2194"/>
      <c r="N212" s="1646"/>
      <c r="O212" s="2194"/>
      <c r="P212" s="2209"/>
      <c r="Q212" s="1846"/>
      <c r="R212" s="2194"/>
      <c r="S212" s="2194"/>
      <c r="T212" s="1915"/>
      <c r="U212" s="1653"/>
      <c r="V212" s="2233"/>
      <c r="W212" s="2233"/>
      <c r="X212" s="2233"/>
      <c r="Y212" s="2233"/>
      <c r="Z212" s="2233"/>
      <c r="AA212" s="2233"/>
      <c r="AB212" s="2233"/>
      <c r="AC212" s="2233"/>
      <c r="AD212" s="2233"/>
      <c r="AE212" s="2233"/>
      <c r="AF212" s="2233"/>
      <c r="AG212" s="2233"/>
      <c r="AH212" s="2233"/>
      <c r="AI212" s="2234"/>
    </row>
    <row s="2911" customFormat="1" customHeight="1" ht="11.25">
      <c r="D213" s="2579"/>
      <c r="E213" s="2255"/>
      <c r="F213" s="2255"/>
      <c r="G213" s="2235"/>
      <c r="H213" s="1657"/>
      <c r="I213" s="2238"/>
      <c r="J213" s="2209"/>
      <c r="K213" s="1666"/>
      <c r="L213" s="2194"/>
      <c r="M213" s="2194"/>
      <c r="N213" s="1844"/>
      <c r="O213" s="1844"/>
      <c r="P213" s="2233"/>
      <c r="Q213" s="2233"/>
      <c r="R213" s="2233"/>
      <c r="S213" s="2233"/>
      <c r="T213" s="2233"/>
      <c r="U213" s="2233"/>
      <c r="V213" s="2233"/>
      <c r="W213" s="2233"/>
      <c r="X213" s="2233"/>
      <c r="Y213" s="2233"/>
      <c r="Z213" s="2233"/>
      <c r="AA213" s="2233"/>
      <c r="AB213" s="2233"/>
      <c r="AC213" s="2233"/>
      <c r="AD213" s="2233"/>
      <c r="AE213" s="2233"/>
      <c r="AF213" s="2233"/>
      <c r="AG213" s="2233"/>
      <c r="AH213" s="2233"/>
      <c r="AI213" s="2234"/>
    </row>
    <row s="3247" customFormat="1" customHeight="1" ht="11.25">
      <c r="D214" s="2579"/>
      <c r="E214" s="2255"/>
      <c r="F214" s="2255"/>
      <c r="G214" s="2240"/>
      <c r="H214" s="1654"/>
      <c r="I214" s="1658"/>
      <c r="J214" s="2243"/>
      <c r="K214" s="2243"/>
      <c r="L214" s="2243"/>
      <c r="M214" s="2243"/>
      <c r="N214" s="2243"/>
      <c r="O214" s="2243"/>
      <c r="P214" s="2243"/>
      <c r="Q214" s="2243"/>
      <c r="R214" s="2243"/>
      <c r="S214" s="2243"/>
      <c r="T214" s="2243"/>
      <c r="U214" s="2243"/>
      <c r="V214" s="2243"/>
      <c r="W214" s="2243"/>
      <c r="X214" s="2243"/>
      <c r="Y214" s="2243"/>
      <c r="Z214" s="2243"/>
      <c r="AA214" s="2243"/>
      <c r="AB214" s="2243"/>
      <c r="AC214" s="2243"/>
      <c r="AD214" s="2243"/>
      <c r="AE214" s="2243"/>
      <c r="AF214" s="2243"/>
      <c r="AG214" s="2243"/>
      <c r="AH214" s="2243"/>
      <c r="AI214" s="2244"/>
      <c r="BK214" s="1630"/>
    </row>
    <row customHeight="1" ht="17.25">
      <c r="A215" s="1906"/>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33A791-9A85-365D-FEEA-58617FC8F59C}"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3548" width="43.140625"/>
    <col min="2" max="2" style="13548" width="43.140625" hidden="1"/>
    <col min="3" max="3" style="13548" width="43.140625"/>
    <col min="4" max="5" style="13548" width="36.421875" customWidth="1"/>
    <col min="6" max="8" style="13549" width="36.421875" customWidth="1"/>
  </cols>
  <sheetData>
    <row customHeight="1" ht="9">
      <c r="A1" s="902" t="s">
        <v>2080</v>
      </c>
      <c r="B1" s="902"/>
      <c r="C1" s="1038" t="s">
        <v>2081</v>
      </c>
      <c r="D1" s="1036" t="s">
        <v>940</v>
      </c>
      <c r="E1" s="1036" t="s">
        <v>986</v>
      </c>
      <c r="F1" s="1036" t="s">
        <v>1039</v>
      </c>
      <c r="G1" s="1036" t="s">
        <v>1026</v>
      </c>
      <c r="H1" s="1036" t="s">
        <v>1753</v>
      </c>
    </row>
    <row customHeight="1" ht="9">
      <c r="A2" s="1039" t="s">
        <v>2082</v>
      </c>
      <c r="B2" s="1039"/>
      <c r="C2" s="1040" t="str">
        <f>INDEX(TEMPLATE_NUMBER_FORM_LIST,MATCH(TEMPLATE_SPHERE,TEMPLATE_SPHERE_LIST,0))</f>
        <v>10</v>
      </c>
      <c r="D2" s="1039" t="s">
        <v>175</v>
      </c>
      <c r="E2" s="1039" t="s">
        <v>145</v>
      </c>
      <c r="F2" s="1041" t="s">
        <v>145</v>
      </c>
      <c r="G2" s="1039" t="s">
        <v>145</v>
      </c>
      <c r="H2" s="1042"/>
    </row>
    <row customHeight="1" ht="63">
      <c r="A3" s="902"/>
      <c r="B3" s="902" t="s">
        <v>191</v>
      </c>
      <c r="C3" s="1040"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040" t="s">
        <v>2083</v>
      </c>
      <c r="E3" s="1040"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041"/>
      <c r="G3" s="1042"/>
      <c r="H3" s="902"/>
    </row>
    <row customHeight="1" ht="243">
      <c r="A4" s="902" t="s">
        <v>2084</v>
      </c>
      <c r="B4" s="902" t="s">
        <v>108</v>
      </c>
      <c r="C4" s="1040" t="str">
        <f>IF(TEMPLATE_SPHERE="HEAT",D4,IF(TEMPLATE_SPHERE="TKO",H4,E4))</f>
        <v>Форма 1. Информация об организации, осуществляющей холодное водоснабжение (общая информация)</v>
      </c>
      <c r="D4" s="1039" t="s">
        <v>2085</v>
      </c>
      <c r="E4" s="104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039"/>
      <c r="G4" s="1039"/>
      <c r="H4" s="902" t="s">
        <v>2086</v>
      </c>
    </row>
    <row customHeight="1" ht="117">
      <c r="A5" s="902" t="s">
        <v>2087</v>
      </c>
      <c r="B5" s="902" t="s">
        <v>94</v>
      </c>
      <c r="C5" s="1040"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902" t="s">
        <v>2088</v>
      </c>
      <c r="E5" s="90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042"/>
      <c r="G5" s="1042"/>
      <c r="H5" s="902" t="s">
        <v>2089</v>
      </c>
    </row>
    <row customHeight="1" ht="90">
      <c r="A6" s="902" t="s">
        <v>2090</v>
      </c>
      <c r="B6" s="902" t="s">
        <v>95</v>
      </c>
      <c r="C6" s="1040"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90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90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902"/>
      <c r="G6" s="902"/>
      <c r="H6" s="1042"/>
    </row>
    <row customHeight="1" ht="45">
      <c r="A7" s="902" t="s">
        <v>2091</v>
      </c>
      <c r="B7" s="902" t="s">
        <v>122</v>
      </c>
      <c r="C7" s="1040"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902" t="s">
        <v>2092</v>
      </c>
      <c r="E7" s="902" t="s">
        <v>2093</v>
      </c>
      <c r="F7" s="1042"/>
      <c r="G7" s="1042"/>
      <c r="H7" s="1042"/>
    </row>
    <row customHeight="1" ht="108">
      <c r="A8" s="902" t="s">
        <v>2094</v>
      </c>
      <c r="B8" s="902" t="s">
        <v>96</v>
      </c>
      <c r="C8" s="1040"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902" t="s">
        <v>1295</v>
      </c>
      <c r="E8" s="902" t="s">
        <v>2095</v>
      </c>
      <c r="F8" s="1042"/>
      <c r="G8" s="1042"/>
      <c r="H8" s="1042"/>
    </row>
    <row customHeight="1" ht="99">
      <c r="A9" s="902" t="s">
        <v>2096</v>
      </c>
      <c r="B9" s="902"/>
      <c r="C9" s="902" t="s">
        <v>2097</v>
      </c>
      <c r="D9" s="902"/>
      <c r="E9" s="902"/>
      <c r="F9" s="1042"/>
      <c r="G9" s="1042"/>
      <c r="H9" s="1042"/>
    </row>
    <row customHeight="1" ht="126">
      <c r="A10" s="902" t="s">
        <v>2098</v>
      </c>
      <c r="B10" s="902"/>
      <c r="C10" s="902" t="s">
        <v>2099</v>
      </c>
      <c r="D10" s="902"/>
      <c r="E10" s="902"/>
      <c r="F10" s="1042"/>
      <c r="G10" s="1042"/>
      <c r="H10" s="1042"/>
    </row>
    <row customHeight="1" ht="108">
      <c r="A11" s="902" t="s">
        <v>2100</v>
      </c>
      <c r="B11" s="902"/>
      <c r="C11" s="902" t="s">
        <v>2101</v>
      </c>
      <c r="D11" s="902"/>
      <c r="E11" s="902"/>
      <c r="F11" s="1042"/>
      <c r="G11" s="1042"/>
      <c r="H11" s="1042"/>
    </row>
    <row customHeight="1" ht="54">
      <c r="A12" s="902" t="s">
        <v>2102</v>
      </c>
      <c r="B12" s="902"/>
      <c r="C12" s="902" t="s">
        <v>2103</v>
      </c>
      <c r="D12" s="902"/>
      <c r="E12" s="902"/>
      <c r="F12" s="1042"/>
      <c r="G12" s="1042"/>
      <c r="H12" s="1042"/>
    </row>
    <row customHeight="1" ht="45">
      <c r="A13" s="902" t="s">
        <v>2104</v>
      </c>
      <c r="B13" s="902"/>
      <c r="C13" s="902" t="s">
        <v>2105</v>
      </c>
      <c r="D13" s="902"/>
      <c r="E13" s="902"/>
      <c r="F13" s="1042"/>
      <c r="G13" s="1042"/>
      <c r="H13" s="1042"/>
    </row>
    <row customHeight="1" ht="117">
      <c r="A14" s="902" t="s">
        <v>2106</v>
      </c>
      <c r="B14" s="902"/>
      <c r="C14" s="902" t="s">
        <v>2107</v>
      </c>
      <c r="D14" s="902"/>
      <c r="E14" s="902"/>
      <c r="F14" s="1042"/>
      <c r="G14" s="1042"/>
      <c r="H14" s="1042"/>
    </row>
    <row customHeight="1" ht="117">
      <c r="A15" s="902" t="s">
        <v>2108</v>
      </c>
      <c r="B15" s="902"/>
      <c r="C15" s="902" t="s">
        <v>2109</v>
      </c>
      <c r="D15" s="902"/>
      <c r="E15" s="902"/>
      <c r="F15" s="1042"/>
      <c r="G15" s="1042"/>
      <c r="H15" s="1042"/>
    </row>
    <row customHeight="1" ht="63">
      <c r="A16" s="902" t="s">
        <v>2110</v>
      </c>
      <c r="B16" s="902"/>
      <c r="C16" s="902" t="s">
        <v>2111</v>
      </c>
      <c r="D16" s="902"/>
      <c r="E16" s="902"/>
      <c r="F16" s="1042"/>
      <c r="G16" s="1042"/>
      <c r="H16" s="1042"/>
    </row>
    <row customHeight="1" ht="54">
      <c r="A17" s="902" t="s">
        <v>2112</v>
      </c>
      <c r="B17" s="902"/>
      <c r="C17" s="1040" t="s">
        <v>2113</v>
      </c>
      <c r="D17" s="902"/>
      <c r="E17" s="902"/>
      <c r="F17" s="1042"/>
      <c r="G17" s="1042"/>
      <c r="H17" s="1042"/>
    </row>
    <row customHeight="1" ht="27">
      <c r="A18" s="902" t="s">
        <v>2114</v>
      </c>
      <c r="B18" s="902"/>
      <c r="C18" s="1040" t="s">
        <v>2115</v>
      </c>
      <c r="D18" s="902"/>
      <c r="E18" s="902"/>
      <c r="F18" s="1042"/>
      <c r="G18" s="1042"/>
      <c r="H18" s="1042"/>
    </row>
    <row customHeight="1" ht="54">
      <c r="A19" s="902" t="s">
        <v>2116</v>
      </c>
      <c r="B19" s="902"/>
      <c r="C19" s="1040" t="s">
        <v>2117</v>
      </c>
      <c r="D19" s="902"/>
      <c r="E19" s="902"/>
      <c r="F19" s="1042"/>
      <c r="G19" s="1042"/>
      <c r="H19" s="1042"/>
    </row>
    <row customHeight="1" ht="36">
      <c r="A20" s="902" t="s">
        <v>2118</v>
      </c>
      <c r="B20" s="902"/>
      <c r="C20" s="1040" t="s">
        <v>2119</v>
      </c>
      <c r="D20" s="902"/>
      <c r="E20" s="902"/>
      <c r="F20" s="1042"/>
      <c r="G20" s="1042"/>
      <c r="H20" s="1042"/>
    </row>
    <row customHeight="1" ht="36">
      <c r="A21" s="902" t="s">
        <v>2120</v>
      </c>
      <c r="B21" s="902"/>
      <c r="C21" s="1040" t="s">
        <v>2121</v>
      </c>
      <c r="D21" s="902"/>
      <c r="E21" s="902"/>
      <c r="F21" s="1042"/>
      <c r="G21" s="1042"/>
      <c r="H21" s="1042"/>
    </row>
    <row customHeight="1" ht="27">
      <c r="A22" s="902" t="s">
        <v>2122</v>
      </c>
      <c r="B22" s="902"/>
      <c r="C22" s="1040" t="s">
        <v>2123</v>
      </c>
      <c r="D22" s="902"/>
      <c r="E22" s="902"/>
      <c r="F22" s="1042"/>
      <c r="G22" s="1042"/>
      <c r="H22" s="1042"/>
    </row>
    <row customHeight="1" ht="36">
      <c r="A23" s="902" t="s">
        <v>2124</v>
      </c>
      <c r="B23" s="902"/>
      <c r="C23" s="1040" t="s">
        <v>2125</v>
      </c>
      <c r="D23" s="902"/>
      <c r="E23" s="902"/>
      <c r="F23" s="1042"/>
      <c r="G23" s="1042"/>
      <c r="H23" s="1042"/>
    </row>
    <row customHeight="1" ht="28.5">
      <c r="A24" s="902" t="s">
        <v>2126</v>
      </c>
      <c r="B24" s="902"/>
      <c r="C24" s="1040" t="s">
        <v>2127</v>
      </c>
      <c r="D24" s="902"/>
      <c r="E24" s="902"/>
      <c r="F24" s="1042"/>
      <c r="G24" s="1042"/>
      <c r="H24" s="1042"/>
    </row>
    <row customHeight="1" ht="36">
      <c r="A25" s="902" t="s">
        <v>2128</v>
      </c>
      <c r="B25" s="902"/>
      <c r="C25" s="1040" t="s">
        <v>2129</v>
      </c>
      <c r="D25" s="902"/>
      <c r="E25" s="902"/>
      <c r="F25" s="1042"/>
      <c r="G25" s="1042"/>
      <c r="H25" s="1042"/>
    </row>
    <row customHeight="1" ht="27">
      <c r="A26" s="902" t="s">
        <v>2130</v>
      </c>
      <c r="B26" s="902"/>
      <c r="C26" s="1040" t="s">
        <v>2131</v>
      </c>
      <c r="D26" s="902"/>
      <c r="E26" s="902"/>
      <c r="F26" s="1042"/>
      <c r="G26" s="1042"/>
      <c r="H26" s="1042"/>
    </row>
    <row customHeight="1" ht="36">
      <c r="A27" s="902" t="s">
        <v>2132</v>
      </c>
      <c r="B27" s="902"/>
      <c r="C27" s="1040" t="s">
        <v>2133</v>
      </c>
      <c r="D27" s="902"/>
      <c r="E27" s="902"/>
      <c r="F27" s="1042"/>
      <c r="G27" s="1042"/>
      <c r="H27" s="1042"/>
    </row>
    <row customHeight="1" ht="28.5">
      <c r="A28" s="902" t="s">
        <v>2134</v>
      </c>
      <c r="B28" s="902"/>
      <c r="C28" s="1040" t="s">
        <v>2135</v>
      </c>
      <c r="D28" s="902"/>
      <c r="E28" s="902"/>
      <c r="F28" s="1042"/>
      <c r="G28" s="1042"/>
      <c r="H28" s="1042"/>
    </row>
    <row customHeight="1" ht="126">
      <c r="A29" s="902" t="s">
        <v>2136</v>
      </c>
      <c r="B29" s="902" t="s">
        <v>1706</v>
      </c>
      <c r="C29" s="1040"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902" t="s">
        <v>2137</v>
      </c>
      <c r="E29" s="90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042"/>
      <c r="G29" s="1042"/>
      <c r="H29" s="902" t="s">
        <v>2138</v>
      </c>
    </row>
    <row customHeight="1" ht="36">
      <c r="A30" s="902" t="s">
        <v>2139</v>
      </c>
      <c r="B30" s="902"/>
      <c r="C30" s="1040"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902" t="s">
        <v>2140</v>
      </c>
      <c r="E30" s="90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042"/>
      <c r="G30" s="1042"/>
      <c r="H30" s="1042"/>
    </row>
    <row customHeight="1" ht="54">
      <c r="A31" s="902" t="s">
        <v>2141</v>
      </c>
      <c r="B31" s="902"/>
      <c r="C31" s="1040" t="str">
        <f>IF(TEMPLATE_SPHERE="HEAT",D31,IF(TEMPLATE_SPHERE="TKO",H31,E31))</f>
        <v>Форма 1. Информация об организации, осуществляющей холодное водоснабжение (общая информация)</v>
      </c>
      <c r="D31" s="902" t="s">
        <v>2142</v>
      </c>
      <c r="E31" s="905"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042"/>
      <c r="G31" s="1042"/>
      <c r="H31" s="1042"/>
    </row>
    <row customHeight="1" ht="198">
      <c r="A32" s="902" t="s">
        <v>2143</v>
      </c>
      <c r="B32" s="902"/>
      <c r="C32" s="1040" t="str">
        <f>IF(TEMPLATE_SPHERE="HEAT",D32,IF(TEMPLATE_SPHERE="TKO",H32,E32))</f>
        <v>Форма 7. Информация об инвестиционных программах организации холодного водоснабжения и отчетах об их исполнении</v>
      </c>
      <c r="D32" s="902" t="s">
        <v>2144</v>
      </c>
      <c r="E32" s="90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042"/>
      <c r="G32" s="1042"/>
      <c r="H32" s="902" t="s">
        <v>2145</v>
      </c>
    </row>
    <row customHeight="1" ht="9">
      <c r="A33" s="902"/>
      <c r="B33" s="902"/>
      <c r="C33" s="1040"/>
      <c r="D33" s="902"/>
      <c r="E33" s="902"/>
      <c r="F33" s="1042"/>
      <c r="G33" s="1042"/>
      <c r="H33" s="1042"/>
    </row>
    <row customHeight="1" ht="9">
      <c r="A34" s="902"/>
      <c r="B34" s="902" t="s">
        <v>1642</v>
      </c>
      <c r="C34" s="1040">
        <f>INDEX(TEMPLATE_NAME_FORM_LIST,B34,MATCH(TEMPLATE_SPHERE,TEMPLATE_SPHERE_LIST,0))</f>
        <v>0</v>
      </c>
      <c r="D34" s="902"/>
      <c r="E34" s="902"/>
      <c r="F34" s="1042"/>
      <c r="G34" s="1042"/>
      <c r="H34" s="1042"/>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AA52AF2-6347-BBCE-075A-568F99C4B99F}"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3548" width="9.140625"/>
    <col min="3" max="7" style="13592" width="8.00390625" customWidth="1"/>
    <col min="8" max="12" style="13592" width="8.57421875" customWidth="1"/>
    <col min="13" max="14" style="13592" width="27.7109375" customWidth="1"/>
    <col min="15" max="19" style="13592" width="5.140625" customWidth="1"/>
    <col min="20" max="24" style="13592" width="27.7109375" customWidth="1"/>
    <col min="25" max="25" style="13593" width="1.8515625" customWidth="1"/>
    <col min="26" max="26" style="13548" width="27.7109375" customWidth="1"/>
    <col min="27" max="27" style="13594" width="27.7109375" customWidth="1"/>
    <col min="28" max="29" style="13548" width="27.7109375" customWidth="1"/>
    <col min="30" max="30" style="13548" width="3.8515625" customWidth="1"/>
    <col min="31" max="34" style="13548" width="9.140625"/>
  </cols>
  <sheetData>
    <row s="13550" customFormat="1" customHeight="1" ht="18">
      <c r="A1" s="954"/>
      <c r="B1" s="954"/>
      <c r="C1" s="954" t="s">
        <v>2146</v>
      </c>
      <c r="D1" s="954"/>
      <c r="E1" s="954"/>
      <c r="F1" s="954"/>
      <c r="G1" s="954"/>
      <c r="H1" s="954" t="s">
        <v>2147</v>
      </c>
      <c r="I1" s="954"/>
      <c r="J1" s="954"/>
      <c r="K1" s="954"/>
      <c r="L1" s="954"/>
      <c r="M1" s="954" t="s">
        <v>2148</v>
      </c>
      <c r="N1" s="954" t="s">
        <v>2149</v>
      </c>
      <c r="O1" s="2648" t="s">
        <v>2150</v>
      </c>
      <c r="P1" s="2648"/>
      <c r="Q1" s="2648"/>
      <c r="R1" s="2648"/>
      <c r="S1" s="2648"/>
      <c r="T1" s="2648" t="s">
        <v>2148</v>
      </c>
      <c r="U1" s="2648"/>
      <c r="V1" s="2648"/>
      <c r="W1" s="2648"/>
      <c r="X1" s="2648"/>
      <c r="Y1" s="1055"/>
      <c r="Z1" s="2648" t="s">
        <v>2151</v>
      </c>
      <c r="AA1" s="2648"/>
      <c r="AB1" s="2648"/>
      <c r="AC1" s="2648"/>
      <c r="AD1" s="2648"/>
    </row>
    <row customHeight="1" ht="18">
      <c r="A2" s="902"/>
      <c r="B2" s="902"/>
      <c r="C2" s="897" t="s">
        <v>940</v>
      </c>
      <c r="D2" s="897" t="s">
        <v>986</v>
      </c>
      <c r="E2" s="897" t="s">
        <v>1039</v>
      </c>
      <c r="F2" s="897" t="s">
        <v>1026</v>
      </c>
      <c r="G2" s="897" t="s">
        <v>1753</v>
      </c>
      <c r="H2" s="899"/>
      <c r="I2" s="899"/>
      <c r="J2" s="899"/>
      <c r="K2" s="899"/>
      <c r="L2" s="899"/>
      <c r="M2" s="899"/>
      <c r="N2" s="899"/>
      <c r="O2" s="897" t="s">
        <v>940</v>
      </c>
      <c r="P2" s="897" t="s">
        <v>986</v>
      </c>
      <c r="Q2" s="897" t="s">
        <v>1026</v>
      </c>
      <c r="R2" s="897" t="s">
        <v>1039</v>
      </c>
      <c r="S2" s="897" t="s">
        <v>1753</v>
      </c>
      <c r="T2" s="897" t="s">
        <v>940</v>
      </c>
      <c r="U2" s="897" t="s">
        <v>986</v>
      </c>
      <c r="V2" s="897" t="s">
        <v>1026</v>
      </c>
      <c r="W2" s="897" t="s">
        <v>1039</v>
      </c>
      <c r="X2" s="897" t="s">
        <v>1753</v>
      </c>
      <c r="Y2" s="897"/>
      <c r="Z2" s="897" t="s">
        <v>940</v>
      </c>
      <c r="AA2" s="906" t="s">
        <v>986</v>
      </c>
      <c r="AB2" s="897" t="s">
        <v>1026</v>
      </c>
      <c r="AC2" s="897" t="s">
        <v>1039</v>
      </c>
      <c r="AD2" s="897" t="s">
        <v>1753</v>
      </c>
    </row>
    <row customHeight="1" ht="162">
      <c r="A3" s="901" t="s">
        <v>26</v>
      </c>
      <c r="B3" s="901"/>
      <c r="C3" s="2652" t="s">
        <v>2152</v>
      </c>
      <c r="D3" s="2653"/>
      <c r="E3" s="2653"/>
      <c r="F3" s="2654"/>
      <c r="G3" s="899"/>
      <c r="H3" s="899"/>
      <c r="I3" s="899"/>
      <c r="J3" s="899"/>
      <c r="K3" s="899"/>
      <c r="L3" s="899"/>
      <c r="M3" s="899"/>
      <c r="N3" s="900"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899"/>
      <c r="P3" s="899"/>
      <c r="Q3" s="899"/>
      <c r="R3" s="899"/>
      <c r="S3" s="899"/>
      <c r="T3" s="899"/>
      <c r="U3" s="899"/>
      <c r="V3" s="899"/>
      <c r="W3" s="899"/>
      <c r="X3" s="899"/>
      <c r="Y3" s="1056"/>
      <c r="Z3" s="902" t="s">
        <v>2153</v>
      </c>
      <c r="AA3" s="899" t="s">
        <v>2154</v>
      </c>
      <c r="AB3" s="902" t="s">
        <v>2155</v>
      </c>
      <c r="AC3" s="902" t="s">
        <v>2156</v>
      </c>
      <c r="AD3" s="902"/>
      <c r="AG3" s="902"/>
      <c r="AH3" s="902"/>
    </row>
    <row customHeight="1" ht="9">
      <c r="A4" s="901"/>
      <c r="B4" s="901"/>
      <c r="C4" s="899"/>
      <c r="D4" s="899"/>
      <c r="E4" s="899"/>
      <c r="F4" s="899"/>
      <c r="G4" s="899"/>
      <c r="H4" s="899"/>
      <c r="I4" s="899"/>
      <c r="J4" s="899"/>
      <c r="K4" s="899"/>
      <c r="L4" s="899"/>
      <c r="M4" s="899"/>
      <c r="N4" s="899"/>
      <c r="O4" s="899"/>
      <c r="P4" s="899"/>
      <c r="Q4" s="899"/>
      <c r="R4" s="899"/>
      <c r="S4" s="899"/>
      <c r="T4" s="899"/>
      <c r="U4" s="899"/>
      <c r="V4" s="899"/>
      <c r="W4" s="899"/>
      <c r="X4" s="899"/>
      <c r="Y4" s="1056"/>
      <c r="Z4" s="902"/>
      <c r="AA4" s="905"/>
      <c r="AB4" s="902"/>
      <c r="AC4" s="902"/>
      <c r="AD4" s="902"/>
    </row>
    <row customHeight="1" ht="9">
      <c r="A5" s="901"/>
      <c r="B5" s="901"/>
      <c r="C5" s="899"/>
      <c r="D5" s="899"/>
      <c r="E5" s="899"/>
      <c r="F5" s="899"/>
      <c r="G5" s="899"/>
      <c r="H5" s="899"/>
      <c r="I5" s="899"/>
      <c r="J5" s="899"/>
      <c r="K5" s="899"/>
      <c r="L5" s="899"/>
      <c r="M5" s="899"/>
      <c r="N5" s="899"/>
      <c r="O5" s="899"/>
      <c r="P5" s="899"/>
      <c r="Q5" s="899"/>
      <c r="R5" s="899"/>
      <c r="S5" s="899"/>
      <c r="T5" s="899"/>
      <c r="U5" s="899"/>
      <c r="V5" s="899"/>
      <c r="W5" s="899"/>
      <c r="X5" s="899"/>
      <c r="Y5" s="1056"/>
      <c r="Z5" s="902"/>
      <c r="AA5" s="905"/>
      <c r="AB5" s="902"/>
      <c r="AC5" s="902"/>
      <c r="AD5" s="902"/>
    </row>
    <row customHeight="1" ht="9">
      <c r="A6" s="901"/>
      <c r="B6" s="901"/>
      <c r="C6" s="899"/>
      <c r="D6" s="899"/>
      <c r="E6" s="899"/>
      <c r="F6" s="899"/>
      <c r="G6" s="899"/>
      <c r="H6" s="899"/>
      <c r="I6" s="899"/>
      <c r="J6" s="899"/>
      <c r="K6" s="899"/>
      <c r="L6" s="899"/>
      <c r="M6" s="899"/>
      <c r="N6" s="899"/>
      <c r="O6" s="899"/>
      <c r="P6" s="899"/>
      <c r="Q6" s="899"/>
      <c r="R6" s="899"/>
      <c r="S6" s="899"/>
      <c r="T6" s="899"/>
      <c r="U6" s="899"/>
      <c r="V6" s="899"/>
      <c r="W6" s="899"/>
      <c r="X6" s="899"/>
      <c r="Y6" s="1056"/>
      <c r="Z6" s="902"/>
      <c r="AA6" s="905"/>
      <c r="AB6" s="902"/>
      <c r="AC6" s="902"/>
      <c r="AD6" s="902"/>
    </row>
    <row customHeight="1" ht="9">
      <c r="A7" s="901"/>
      <c r="B7" s="901"/>
      <c r="C7" s="899"/>
      <c r="D7" s="899"/>
      <c r="E7" s="899"/>
      <c r="F7" s="899"/>
      <c r="G7" s="899"/>
      <c r="H7" s="899"/>
      <c r="I7" s="899"/>
      <c r="J7" s="899"/>
      <c r="K7" s="899"/>
      <c r="L7" s="899"/>
      <c r="M7" s="899"/>
      <c r="N7" s="899"/>
      <c r="O7" s="899"/>
      <c r="P7" s="899"/>
      <c r="Q7" s="899"/>
      <c r="R7" s="899"/>
      <c r="S7" s="899"/>
      <c r="T7" s="899"/>
      <c r="U7" s="899"/>
      <c r="V7" s="899"/>
      <c r="W7" s="899"/>
      <c r="X7" s="899"/>
      <c r="Y7" s="1056"/>
      <c r="Z7" s="902"/>
      <c r="AA7" s="905"/>
      <c r="AB7" s="902"/>
      <c r="AC7" s="902"/>
      <c r="AD7" s="902"/>
    </row>
    <row customHeight="1" ht="9">
      <c r="A8" s="901"/>
      <c r="B8" s="901"/>
      <c r="C8" s="899"/>
      <c r="D8" s="899"/>
      <c r="E8" s="899"/>
      <c r="F8" s="899"/>
      <c r="G8" s="899"/>
      <c r="H8" s="899"/>
      <c r="I8" s="899"/>
      <c r="J8" s="899"/>
      <c r="K8" s="899"/>
      <c r="L8" s="899"/>
      <c r="M8" s="899"/>
      <c r="N8" s="899"/>
      <c r="O8" s="899"/>
      <c r="P8" s="899"/>
      <c r="Q8" s="899"/>
      <c r="R8" s="899"/>
      <c r="S8" s="899"/>
      <c r="T8" s="899"/>
      <c r="U8" s="899"/>
      <c r="V8" s="899"/>
      <c r="W8" s="899"/>
      <c r="X8" s="899"/>
      <c r="Y8" s="1056"/>
      <c r="Z8" s="902"/>
      <c r="AA8" s="905"/>
      <c r="AB8" s="902"/>
      <c r="AC8" s="902"/>
      <c r="AD8" s="902"/>
    </row>
    <row customHeight="1" ht="9">
      <c r="A9" s="901"/>
      <c r="B9" s="901"/>
      <c r="C9" s="899"/>
      <c r="D9" s="899"/>
      <c r="E9" s="899"/>
      <c r="F9" s="899"/>
      <c r="G9" s="899"/>
      <c r="H9" s="899"/>
      <c r="I9" s="899"/>
      <c r="J9" s="899"/>
      <c r="K9" s="899"/>
      <c r="L9" s="899"/>
      <c r="M9" s="899"/>
      <c r="N9" s="899"/>
      <c r="O9" s="899"/>
      <c r="P9" s="899"/>
      <c r="Q9" s="899"/>
      <c r="R9" s="899"/>
      <c r="S9" s="899"/>
      <c r="T9" s="899"/>
      <c r="U9" s="899"/>
      <c r="V9" s="899"/>
      <c r="W9" s="899"/>
      <c r="X9" s="899"/>
      <c r="Y9" s="1056"/>
      <c r="Z9" s="902"/>
      <c r="AA9" s="905"/>
      <c r="AB9" s="902"/>
      <c r="AC9" s="902"/>
      <c r="AD9" s="902"/>
    </row>
    <row customHeight="1" ht="9">
      <c r="A10" s="955"/>
      <c r="B10" s="955"/>
      <c r="C10" s="955"/>
      <c r="D10" s="955"/>
      <c r="E10" s="955"/>
      <c r="F10" s="955"/>
      <c r="G10" s="955"/>
      <c r="H10" s="955"/>
      <c r="I10" s="955"/>
      <c r="J10" s="955"/>
      <c r="K10" s="955"/>
      <c r="L10" s="955"/>
      <c r="M10" s="955"/>
      <c r="N10" s="955"/>
      <c r="O10" s="955"/>
      <c r="P10" s="955"/>
      <c r="Q10" s="955"/>
      <c r="R10" s="955"/>
      <c r="S10" s="955"/>
      <c r="T10" s="955"/>
      <c r="U10" s="955"/>
      <c r="V10" s="955"/>
      <c r="W10" s="955"/>
      <c r="X10" s="955"/>
      <c r="Y10" s="955"/>
      <c r="Z10" s="955"/>
      <c r="AA10" s="955"/>
      <c r="AB10" s="955"/>
      <c r="AC10" s="955"/>
      <c r="AD10" s="955"/>
    </row>
    <row customHeight="1" ht="45">
      <c r="A11" s="2649" t="s">
        <v>33</v>
      </c>
      <c r="B11" s="955">
        <v>1</v>
      </c>
      <c r="C11" s="2655" t="s">
        <v>1693</v>
      </c>
      <c r="D11" s="2655" t="s">
        <v>1689</v>
      </c>
      <c r="E11" s="2655" t="s">
        <v>1786</v>
      </c>
      <c r="F11" s="2655" t="s">
        <v>2157</v>
      </c>
      <c r="G11" s="2655"/>
      <c r="H11" s="954" t="s">
        <v>2158</v>
      </c>
      <c r="I11" s="954"/>
      <c r="J11" s="954"/>
      <c r="K11" s="954"/>
      <c r="L11" s="954"/>
      <c r="M11" s="900" t="str">
        <f>IF(TEMPLATE_SPHERE="HEAT",T11,U11)</f>
        <v>Количество поданных заявлений </v>
      </c>
      <c r="N11" s="900"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899"/>
      <c r="P11" s="899"/>
      <c r="Q11" s="899"/>
      <c r="R11" s="899"/>
      <c r="S11" s="899"/>
      <c r="T11" s="899" t="s">
        <v>2159</v>
      </c>
      <c r="U11" s="899" t="s">
        <v>2160</v>
      </c>
      <c r="V11" s="899"/>
      <c r="W11" s="899"/>
      <c r="X11" s="899"/>
      <c r="Y11" s="1056"/>
      <c r="Z11" s="902" t="s">
        <v>2161</v>
      </c>
      <c r="AA11" s="90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902"/>
      <c r="AC11" s="902"/>
      <c r="AD11" s="902"/>
    </row>
    <row customHeight="1" ht="45">
      <c r="A12" s="2649"/>
      <c r="B12" s="955">
        <v>2</v>
      </c>
      <c r="C12" s="2656"/>
      <c r="D12" s="2656"/>
      <c r="E12" s="2656"/>
      <c r="F12" s="2656"/>
      <c r="G12" s="2656"/>
      <c r="H12" s="954" t="s">
        <v>2162</v>
      </c>
      <c r="I12" s="954"/>
      <c r="J12" s="954"/>
      <c r="K12" s="954"/>
      <c r="L12" s="954"/>
      <c r="M12" s="900" t="str">
        <f>IF(TEMPLATE_SPHERE="HEAT",T12,U12)</f>
        <v>Количество исполненных заявлений </v>
      </c>
      <c r="N12" s="900"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899"/>
      <c r="P12" s="899"/>
      <c r="Q12" s="899"/>
      <c r="R12" s="899"/>
      <c r="S12" s="899"/>
      <c r="T12" s="899" t="s">
        <v>2163</v>
      </c>
      <c r="U12" s="899" t="s">
        <v>2164</v>
      </c>
      <c r="V12" s="899"/>
      <c r="W12" s="899"/>
      <c r="X12" s="899"/>
      <c r="Y12" s="1056"/>
      <c r="Z12" s="902" t="s">
        <v>2165</v>
      </c>
      <c r="AA12" s="90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902"/>
      <c r="AC12" s="902"/>
      <c r="AD12" s="902"/>
    </row>
    <row customHeight="1" ht="72">
      <c r="A13" s="2649"/>
      <c r="B13" s="955">
        <v>3</v>
      </c>
      <c r="C13" s="2656"/>
      <c r="D13" s="2656"/>
      <c r="E13" s="2656"/>
      <c r="F13" s="2656"/>
      <c r="G13" s="2656"/>
      <c r="H13" s="2648" t="s">
        <v>2166</v>
      </c>
      <c r="I13" s="954"/>
      <c r="J13" s="954"/>
      <c r="K13" s="954"/>
      <c r="L13" s="954"/>
      <c r="M13" s="90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900"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899"/>
      <c r="P13" s="900"/>
      <c r="Q13" s="900"/>
      <c r="R13" s="900"/>
      <c r="S13" s="899"/>
      <c r="T13" s="899" t="s">
        <v>2167</v>
      </c>
      <c r="U13" s="900" t="s">
        <v>2168</v>
      </c>
      <c r="V13" s="900"/>
      <c r="W13" s="900"/>
      <c r="X13" s="899"/>
      <c r="Y13" s="1056"/>
      <c r="Z13" s="902" t="s">
        <v>2169</v>
      </c>
      <c r="AA13" s="90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902"/>
      <c r="AC13" s="902"/>
      <c r="AD13" s="902"/>
    </row>
    <row customHeight="1" ht="45">
      <c r="A14" s="2649"/>
      <c r="B14" s="955">
        <v>4</v>
      </c>
      <c r="C14" s="2656"/>
      <c r="D14" s="2656"/>
      <c r="E14" s="2656"/>
      <c r="F14" s="2656"/>
      <c r="G14" s="2656"/>
      <c r="H14" s="2648"/>
      <c r="I14" s="957"/>
      <c r="J14" s="957"/>
      <c r="K14" s="957"/>
      <c r="L14" s="957"/>
      <c r="M14" s="903"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900"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99"/>
      <c r="P14" s="900"/>
      <c r="Q14" s="900"/>
      <c r="R14" s="900"/>
      <c r="S14" s="899"/>
      <c r="T14" s="899" t="s">
        <v>2170</v>
      </c>
      <c r="U14" s="90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900"/>
      <c r="W14" s="900"/>
      <c r="X14" s="899"/>
      <c r="Y14" s="1056"/>
      <c r="Z14" s="902" t="s">
        <v>2171</v>
      </c>
      <c r="AA14" s="905" t="s">
        <v>2171</v>
      </c>
      <c r="AB14" s="902"/>
      <c r="AC14" s="902"/>
      <c r="AD14" s="902"/>
    </row>
    <row customHeight="1" ht="108">
      <c r="A15" s="2649"/>
      <c r="B15" s="955">
        <v>5</v>
      </c>
      <c r="C15" s="2656"/>
      <c r="D15" s="2656"/>
      <c r="E15" s="2656"/>
      <c r="F15" s="2656"/>
      <c r="G15" s="2656"/>
      <c r="H15" s="2650" t="s">
        <v>2172</v>
      </c>
      <c r="I15" s="956"/>
      <c r="J15" s="956"/>
      <c r="K15" s="956"/>
      <c r="L15" s="956"/>
      <c r="M15" s="905"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904"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899"/>
      <c r="P15" s="900"/>
      <c r="Q15" s="900"/>
      <c r="R15" s="900"/>
      <c r="S15" s="899"/>
      <c r="T15" s="899" t="s">
        <v>2173</v>
      </c>
      <c r="U15" s="90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900"/>
      <c r="W15" s="900"/>
      <c r="X15" s="899"/>
      <c r="Y15" s="1056"/>
      <c r="Z15" s="902" t="s">
        <v>2174</v>
      </c>
      <c r="AA15" s="90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902"/>
      <c r="AC15" s="902"/>
      <c r="AD15" s="902"/>
    </row>
    <row customHeight="1" ht="108">
      <c r="A16" s="955"/>
      <c r="B16" s="955">
        <v>6</v>
      </c>
      <c r="C16" s="2657"/>
      <c r="D16" s="2657"/>
      <c r="E16" s="2657"/>
      <c r="F16" s="2657"/>
      <c r="G16" s="2657"/>
      <c r="H16" s="2651"/>
      <c r="I16" s="1018"/>
      <c r="J16" s="1018"/>
      <c r="K16" s="1018"/>
      <c r="L16" s="1018"/>
      <c r="M16" s="948"/>
      <c r="N16" s="904"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899"/>
      <c r="P16" s="900"/>
      <c r="Q16" s="900"/>
      <c r="R16" s="900"/>
      <c r="S16" s="899"/>
      <c r="T16" s="899"/>
      <c r="U16" s="900"/>
      <c r="V16" s="900"/>
      <c r="W16" s="900"/>
      <c r="X16" s="899"/>
      <c r="Y16" s="1056"/>
      <c r="Z16" s="902" t="s">
        <v>2174</v>
      </c>
      <c r="AA16" s="90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902"/>
      <c r="AC16" s="902"/>
      <c r="AD16" s="902"/>
    </row>
    <row customHeight="1" ht="9">
      <c r="A17" s="955"/>
      <c r="B17" s="955"/>
      <c r="C17" s="955">
        <v>22</v>
      </c>
      <c r="D17" s="955">
        <v>21</v>
      </c>
      <c r="E17" s="955">
        <v>42</v>
      </c>
      <c r="F17" s="955">
        <v>63</v>
      </c>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row>
    <row customHeight="1" ht="27">
      <c r="A18" s="901" t="s">
        <v>1789</v>
      </c>
      <c r="B18" s="955">
        <v>1</v>
      </c>
      <c r="C18" s="899" t="s">
        <v>2158</v>
      </c>
      <c r="D18" s="1023" t="s">
        <v>2158</v>
      </c>
      <c r="E18" s="899" t="s">
        <v>2158</v>
      </c>
      <c r="F18" s="899" t="s">
        <v>2158</v>
      </c>
      <c r="G18" s="899"/>
      <c r="H18" s="1058"/>
      <c r="I18" s="1061">
        <f>INDEX(TEMPLATE_NUMBER_POINT_FHD,B18,MATCH(TEMPLATE_SPHERE,TEMPLATE_SPHERE_LIST_FOR_NOTE,0))</f>
        <v>1</v>
      </c>
      <c r="J18" s="1061" t="str">
        <f>INDEX(TEMPLATE_DATA_POINT_FHD,B18,MATCH(TEMPLATE_SPHERE,TEMPLATE_SPHERE_LIST_FOR_NOTE,0))</f>
        <v>Выручка от регулируемых видов деятельности в сфере холодного водоснабжения</v>
      </c>
      <c r="K18" s="1061" t="str">
        <f>INDEX(TEMPLATE_NOTE_POINT_FHD,B18,MATCH(TEMPLATE_SPHERE,TEMPLATE_SPHERE_LIST_FOR_NOTE,0))</f>
        <v>Указывается выручка с распределением по видам деятельности.</v>
      </c>
      <c r="L18" s="900">
        <f>IF(I18=0,"",I18)</f>
        <v>1</v>
      </c>
      <c r="M18" s="900" t="str">
        <f>IF(J18=0,"",J18)</f>
        <v>Выручка от регулируемых видов деятельности в сфере холодного водоснабжения</v>
      </c>
      <c r="N18" s="900" t="str">
        <f>IF(K18=0,"",K18)</f>
        <v>Указывается выручка с распределением по видам деятельности.</v>
      </c>
      <c r="O18" s="1013">
        <v>1</v>
      </c>
      <c r="P18" s="1013">
        <v>1</v>
      </c>
      <c r="Q18" s="1013">
        <v>1</v>
      </c>
      <c r="R18" s="1013">
        <v>1</v>
      </c>
      <c r="S18" s="1013"/>
      <c r="T18" s="1020" t="s">
        <v>2175</v>
      </c>
      <c r="U18" s="902" t="s">
        <v>2176</v>
      </c>
      <c r="V18" s="902" t="s">
        <v>2177</v>
      </c>
      <c r="W18" s="902" t="s">
        <v>2178</v>
      </c>
      <c r="X18" s="899"/>
      <c r="Y18" s="1056"/>
      <c r="Z18" s="902" t="s">
        <v>2179</v>
      </c>
      <c r="AA18" s="905" t="s">
        <v>2180</v>
      </c>
      <c r="AB18" s="905" t="s">
        <v>2180</v>
      </c>
      <c r="AC18" s="905" t="s">
        <v>2180</v>
      </c>
      <c r="AD18" s="902"/>
    </row>
    <row customHeight="1" ht="36">
      <c r="A19" s="901"/>
      <c r="B19" s="955">
        <v>2</v>
      </c>
      <c r="C19" s="899" t="s">
        <v>2162</v>
      </c>
      <c r="D19" s="1023" t="s">
        <v>2162</v>
      </c>
      <c r="E19" s="899" t="s">
        <v>2162</v>
      </c>
      <c r="F19" s="899" t="s">
        <v>2162</v>
      </c>
      <c r="G19" s="899"/>
      <c r="H19" s="1058"/>
      <c r="I19" s="1061">
        <f>INDEX(TEMPLATE_NUMBER_POINT_FHD,B19,MATCH(TEMPLATE_SPHERE,TEMPLATE_SPHERE_LIST_FOR_NOTE,0))</f>
        <v>2</v>
      </c>
      <c r="J19" s="1061"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061" t="str">
        <f>INDEX(TEMPLATE_NOTE_POINT_FHD,B19,MATCH(TEMPLATE_SPHERE,TEMPLATE_SPHERE_LIST_FOR_NOTE,0))</f>
        <v>Указывается суммарная себестоимость производимых товаров.</v>
      </c>
      <c r="L19" s="900">
        <f>IF(I19=0,"",I19)</f>
        <v>2</v>
      </c>
      <c r="M19" s="900" t="str">
        <f>IF(J19=0,"",J19)</f>
        <v>Себестоимость производимых товаров (оказываемых услуг) по регулируемым видам деятельности в сфере холодного водоснабжения, включая:</v>
      </c>
      <c r="N19" s="900" t="str">
        <f>IF(K19=0,"",K19)</f>
        <v>Указывается суммарная себестоимость производимых товаров.</v>
      </c>
      <c r="O19" s="1013">
        <v>2</v>
      </c>
      <c r="P19" s="1013">
        <v>2</v>
      </c>
      <c r="Q19" s="1013">
        <v>2</v>
      </c>
      <c r="R19" s="1013">
        <v>2</v>
      </c>
      <c r="S19" s="1013"/>
      <c r="T19" s="1020" t="s">
        <v>2181</v>
      </c>
      <c r="U19" s="902" t="s">
        <v>2182</v>
      </c>
      <c r="V19" s="902" t="s">
        <v>2183</v>
      </c>
      <c r="W19" s="902" t="s">
        <v>2184</v>
      </c>
      <c r="X19" s="899"/>
      <c r="Y19" s="1056"/>
      <c r="Z19" s="902" t="s">
        <v>2185</v>
      </c>
      <c r="AA19" s="905" t="s">
        <v>2185</v>
      </c>
      <c r="AB19" s="905" t="s">
        <v>2185</v>
      </c>
      <c r="AC19" s="905" t="s">
        <v>2185</v>
      </c>
      <c r="AD19" s="902"/>
    </row>
    <row customHeight="1" ht="27">
      <c r="A20" s="901"/>
      <c r="B20" s="955">
        <v>3</v>
      </c>
      <c r="C20" s="899">
        <v>1</v>
      </c>
      <c r="D20" s="1023"/>
      <c r="E20" s="899"/>
      <c r="F20" s="899"/>
      <c r="G20" s="899"/>
      <c r="H20" s="1058"/>
      <c r="I20" s="1061" t="str">
        <f>INDEX(TEMPLATE_NUMBER_POINT_FHD,B20,MATCH(TEMPLATE_SPHERE,TEMPLATE_SPHERE_LIST_FOR_NOTE,0))</f>
        <v>2.1</v>
      </c>
      <c r="J20" s="1061"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061">
        <f>INDEX(TEMPLATE_NOTE_POINT_FHD,B20,MATCH(TEMPLATE_SPHERE,TEMPLATE_SPHERE_LIST_FOR_NOTE,0))</f>
        <v>0</v>
      </c>
      <c r="L20" s="900" t="str">
        <f>IF(I20=0,"",I20)</f>
        <v>2.1</v>
      </c>
      <c r="M20" s="900" t="str">
        <f>IF(J20=0,"",J20)</f>
        <v>Расходы на оплату холодной воды, приобретаемой у других организаций для последующей подачи потребителям</v>
      </c>
      <c r="N20" s="900" t="str">
        <f>IF(K20=0,"",K20)</f>
        <v/>
      </c>
      <c r="O20" s="1013" t="s">
        <v>841</v>
      </c>
      <c r="P20" s="1013" t="s">
        <v>841</v>
      </c>
      <c r="Q20" s="1013" t="s">
        <v>841</v>
      </c>
      <c r="R20" s="1013" t="s">
        <v>841</v>
      </c>
      <c r="S20" s="1013"/>
      <c r="T20" s="1020" t="s">
        <v>2186</v>
      </c>
      <c r="U20" s="902" t="s">
        <v>2187</v>
      </c>
      <c r="V20" s="902" t="s">
        <v>2188</v>
      </c>
      <c r="W20" s="902" t="s">
        <v>2189</v>
      </c>
      <c r="X20" s="899"/>
      <c r="Y20" s="1056"/>
      <c r="Z20" s="902"/>
      <c r="AA20" s="905"/>
      <c r="AB20" s="902"/>
      <c r="AC20" s="902"/>
      <c r="AD20" s="902"/>
    </row>
    <row customHeight="1" ht="36">
      <c r="A21" s="901"/>
      <c r="B21" s="955">
        <v>4</v>
      </c>
      <c r="C21" s="899">
        <v>2</v>
      </c>
      <c r="D21" s="1023"/>
      <c r="E21" s="899"/>
      <c r="F21" s="899"/>
      <c r="G21" s="899"/>
      <c r="H21" s="1058"/>
      <c r="I21" s="1061">
        <f>INDEX(TEMPLATE_NUMBER_POINT_FHD,B21,MATCH(TEMPLATE_SPHERE,TEMPLATE_SPHERE_LIST_FOR_NOTE,0))</f>
        <v>0</v>
      </c>
      <c r="J21" s="1061">
        <f>INDEX(TEMPLATE_DATA_POINT_FHD,B21,MATCH(TEMPLATE_SPHERE,TEMPLATE_SPHERE_LIST_FOR_NOTE,0))</f>
        <v>0</v>
      </c>
      <c r="K21" s="1061">
        <f>INDEX(TEMPLATE_NOTE_POINT_FHD,B21,MATCH(TEMPLATE_SPHERE,TEMPLATE_SPHERE_LIST_FOR_NOTE,0))</f>
        <v>0</v>
      </c>
      <c r="L21" s="900" t="str">
        <f>IF(I21=0,"",I21)</f>
        <v/>
      </c>
      <c r="M21" s="900" t="str">
        <f>IF(J21=0,"",J21)</f>
        <v/>
      </c>
      <c r="N21" s="900" t="str">
        <f>IF(K21=0,"",K21)</f>
        <v/>
      </c>
      <c r="O21" s="1013" t="s">
        <v>439</v>
      </c>
      <c r="P21" s="1013"/>
      <c r="Q21" s="1013"/>
      <c r="R21" s="1013"/>
      <c r="S21" s="1013"/>
      <c r="T21" s="1020" t="s">
        <v>2190</v>
      </c>
      <c r="U21" s="902"/>
      <c r="V21" s="902"/>
      <c r="W21" s="902"/>
      <c r="X21" s="899"/>
      <c r="Y21" s="1056"/>
      <c r="Z21" s="902" t="s">
        <v>2191</v>
      </c>
      <c r="AA21" s="905"/>
      <c r="AB21" s="902"/>
      <c r="AC21" s="902"/>
      <c r="AD21" s="902"/>
    </row>
    <row customHeight="1" ht="36">
      <c r="A22" s="901"/>
      <c r="B22" s="955">
        <v>5</v>
      </c>
      <c r="C22" s="899">
        <v>3</v>
      </c>
      <c r="D22" s="1023"/>
      <c r="E22" s="899"/>
      <c r="F22" s="899"/>
      <c r="G22" s="947"/>
      <c r="H22" s="1014"/>
      <c r="I22" s="1061">
        <f>INDEX(TEMPLATE_NUMBER_POINT_FHD,B22,MATCH(TEMPLATE_SPHERE,TEMPLATE_SPHERE_LIST_FOR_NOTE,0))</f>
        <v>0</v>
      </c>
      <c r="J22" s="1061">
        <f>INDEX(TEMPLATE_DATA_POINT_FHD,B22,MATCH(TEMPLATE_SPHERE,TEMPLATE_SPHERE_LIST_FOR_NOTE,0))</f>
        <v>0</v>
      </c>
      <c r="K22" s="1061">
        <f>INDEX(TEMPLATE_NOTE_POINT_FHD,B22,MATCH(TEMPLATE_SPHERE,TEMPLATE_SPHERE_LIST_FOR_NOTE,0))</f>
        <v>0</v>
      </c>
      <c r="L22" s="900" t="str">
        <f>IF(I22=0,"",I22)</f>
        <v/>
      </c>
      <c r="M22" s="900" t="str">
        <f>IF(J22=0,"",J22)</f>
        <v/>
      </c>
      <c r="N22" s="900" t="str">
        <f>IF(K22=0,"",K22)</f>
        <v/>
      </c>
      <c r="O22" s="1013"/>
      <c r="P22" s="1013"/>
      <c r="Q22" s="1013" t="s">
        <v>439</v>
      </c>
      <c r="R22" s="1013"/>
      <c r="S22" s="1013"/>
      <c r="T22" s="1020"/>
      <c r="U22" s="902"/>
      <c r="V22" s="902" t="s">
        <v>2192</v>
      </c>
      <c r="W22" s="902"/>
      <c r="X22" s="899"/>
      <c r="Y22" s="1056"/>
      <c r="Z22" s="902"/>
      <c r="AA22" s="905"/>
      <c r="AB22" s="902"/>
      <c r="AC22" s="902"/>
      <c r="AD22" s="902"/>
    </row>
    <row customHeight="1" ht="27">
      <c r="A23" s="901"/>
      <c r="B23" s="955">
        <v>6</v>
      </c>
      <c r="C23" s="899">
        <v>4</v>
      </c>
      <c r="D23" s="1023"/>
      <c r="E23" s="899"/>
      <c r="F23" s="899"/>
      <c r="G23" s="947"/>
      <c r="H23" s="1014"/>
      <c r="I23" s="1061">
        <f>INDEX(TEMPLATE_NUMBER_POINT_FHD,B23,MATCH(TEMPLATE_SPHERE,TEMPLATE_SPHERE_LIST_FOR_NOTE,0))</f>
        <v>0</v>
      </c>
      <c r="J23" s="1061">
        <f>INDEX(TEMPLATE_DATA_POINT_FHD,B23,MATCH(TEMPLATE_SPHERE,TEMPLATE_SPHERE_LIST_FOR_NOTE,0))</f>
        <v>0</v>
      </c>
      <c r="K23" s="1061">
        <f>INDEX(TEMPLATE_NOTE_POINT_FHD,B23,MATCH(TEMPLATE_SPHERE,TEMPLATE_SPHERE_LIST_FOR_NOTE,0))</f>
        <v>0</v>
      </c>
      <c r="L23" s="900" t="str">
        <f>IF(I23=0,"",I23)</f>
        <v/>
      </c>
      <c r="M23" s="900" t="str">
        <f>IF(J23=0,"",J23)</f>
        <v/>
      </c>
      <c r="N23" s="900" t="str">
        <f>IF(K23=0,"",K23)</f>
        <v/>
      </c>
      <c r="O23" s="1013"/>
      <c r="P23" s="1013"/>
      <c r="Q23" s="1013" t="s">
        <v>442</v>
      </c>
      <c r="R23" s="1013"/>
      <c r="S23" s="1013"/>
      <c r="T23" s="1020"/>
      <c r="U23" s="902"/>
      <c r="V23" s="902" t="s">
        <v>2193</v>
      </c>
      <c r="W23" s="902"/>
      <c r="X23" s="899"/>
      <c r="Y23" s="1056"/>
      <c r="Z23" s="902"/>
      <c r="AA23" s="905"/>
      <c r="AB23" s="902"/>
      <c r="AC23" s="902"/>
      <c r="AD23" s="902"/>
    </row>
    <row customHeight="1" ht="36">
      <c r="A24" s="901"/>
      <c r="B24" s="955">
        <v>7</v>
      </c>
      <c r="C24" s="899">
        <v>5</v>
      </c>
      <c r="D24" s="1023"/>
      <c r="E24" s="899"/>
      <c r="F24" s="899"/>
      <c r="G24" s="947"/>
      <c r="H24" s="1014"/>
      <c r="I24" s="1061">
        <f>INDEX(TEMPLATE_NUMBER_POINT_FHD,B24,MATCH(TEMPLATE_SPHERE,TEMPLATE_SPHERE_LIST_FOR_NOTE,0))</f>
        <v>0</v>
      </c>
      <c r="J24" s="1061">
        <f>INDEX(TEMPLATE_DATA_POINT_FHD,B24,MATCH(TEMPLATE_SPHERE,TEMPLATE_SPHERE_LIST_FOR_NOTE,0))</f>
        <v>0</v>
      </c>
      <c r="K24" s="1061">
        <f>INDEX(TEMPLATE_NOTE_POINT_FHD,B24,MATCH(TEMPLATE_SPHERE,TEMPLATE_SPHERE_LIST_FOR_NOTE,0))</f>
        <v>0</v>
      </c>
      <c r="L24" s="900" t="str">
        <f>IF(I24=0,"",I24)</f>
        <v/>
      </c>
      <c r="M24" s="900" t="str">
        <f>IF(J24=0,"",J24)</f>
        <v/>
      </c>
      <c r="N24" s="900" t="str">
        <f>IF(K24=0,"",K24)</f>
        <v/>
      </c>
      <c r="O24" s="1013"/>
      <c r="P24" s="1013"/>
      <c r="Q24" s="1013" t="s">
        <v>861</v>
      </c>
      <c r="R24" s="1013"/>
      <c r="S24" s="1013"/>
      <c r="T24" s="1020"/>
      <c r="U24" s="902"/>
      <c r="V24" s="902" t="s">
        <v>2194</v>
      </c>
      <c r="W24" s="902"/>
      <c r="X24" s="899"/>
      <c r="Y24" s="1056"/>
      <c r="Z24" s="902"/>
      <c r="AA24" s="905"/>
      <c r="AB24" s="902"/>
      <c r="AC24" s="902"/>
      <c r="AD24" s="902"/>
    </row>
    <row customHeight="1" ht="36">
      <c r="A25" s="901"/>
      <c r="B25" s="955">
        <v>8</v>
      </c>
      <c r="C25" s="899">
        <v>6</v>
      </c>
      <c r="D25" s="1023"/>
      <c r="E25" s="899"/>
      <c r="F25" s="899"/>
      <c r="G25" s="947"/>
      <c r="H25" s="1014"/>
      <c r="I25" s="1061" t="str">
        <f>INDEX(TEMPLATE_NUMBER_POINT_FHD,B25,MATCH(TEMPLATE_SPHERE,TEMPLATE_SPHERE_LIST_FOR_NOTE,0))</f>
        <v>2.2</v>
      </c>
      <c r="J25" s="1061"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61">
        <f>INDEX(TEMPLATE_NOTE_POINT_FHD,B25,MATCH(TEMPLATE_SPHERE,TEMPLATE_SPHERE_LIST_FOR_NOTE,0))</f>
        <v>0</v>
      </c>
      <c r="L25" s="900" t="str">
        <f>IF(I25=0,"",I25)</f>
        <v>2.2</v>
      </c>
      <c r="M25" s="900" t="str">
        <f>IF(J25=0,"",J25)</f>
        <v>Расходы на приобретаемую электрическую энергию (мощность), используемую в технологическом процессе</v>
      </c>
      <c r="N25" s="900" t="str">
        <f>IF(K25=0,"",K25)</f>
        <v/>
      </c>
      <c r="O25" s="1013" t="s">
        <v>442</v>
      </c>
      <c r="P25" s="1013" t="s">
        <v>439</v>
      </c>
      <c r="Q25" s="1013" t="s">
        <v>868</v>
      </c>
      <c r="R25" s="1013" t="s">
        <v>439</v>
      </c>
      <c r="S25" s="1013"/>
      <c r="T25" s="1020" t="s">
        <v>2195</v>
      </c>
      <c r="U25" s="902" t="s">
        <v>2195</v>
      </c>
      <c r="V25" s="902" t="s">
        <v>2195</v>
      </c>
      <c r="W25" s="902" t="s">
        <v>2195</v>
      </c>
      <c r="X25" s="899"/>
      <c r="Y25" s="1056"/>
      <c r="Z25" s="902"/>
      <c r="AA25" s="905"/>
      <c r="AB25" s="902"/>
      <c r="AC25" s="902"/>
      <c r="AD25" s="902"/>
    </row>
    <row customHeight="1" ht="18">
      <c r="A26" s="901"/>
      <c r="B26" s="955">
        <v>9</v>
      </c>
      <c r="C26" s="899" t="s">
        <v>785</v>
      </c>
      <c r="D26" s="1023"/>
      <c r="E26" s="899"/>
      <c r="F26" s="899"/>
      <c r="G26" s="947"/>
      <c r="H26" s="1014"/>
      <c r="I26" s="1061" t="str">
        <f>INDEX(TEMPLATE_NUMBER_POINT_FHD,B26,MATCH(TEMPLATE_SPHERE,TEMPLATE_SPHERE_LIST_FOR_NOTE,0))</f>
        <v>2.2.1</v>
      </c>
      <c r="J26" s="1061" t="str">
        <f>INDEX(TEMPLATE_DATA_POINT_FHD,B26,MATCH(TEMPLATE_SPHERE,TEMPLATE_SPHERE_LIST_FOR_NOTE,0))</f>
        <v>Средневзвешенная стоимость 1 кВт.ч (с учетом мощности)</v>
      </c>
      <c r="K26" s="1061">
        <f>INDEX(TEMPLATE_NOTE_POINT_FHD,B26,MATCH(TEMPLATE_SPHERE,TEMPLATE_SPHERE_LIST_FOR_NOTE,0))</f>
        <v>0</v>
      </c>
      <c r="L26" s="900" t="str">
        <f>IF(I26=0,"",I26)</f>
        <v>2.2.1</v>
      </c>
      <c r="M26" s="900" t="str">
        <f>IF(J26=0,"",J26)</f>
        <v>Средневзвешенная стоимость 1 кВт.ч (с учетом мощности)</v>
      </c>
      <c r="N26" s="900" t="str">
        <f>IF(K26=0,"",K26)</f>
        <v/>
      </c>
      <c r="O26" s="1013" t="s">
        <v>857</v>
      </c>
      <c r="P26" s="1013" t="s">
        <v>851</v>
      </c>
      <c r="Q26" s="1013" t="s">
        <v>2196</v>
      </c>
      <c r="R26" s="1013" t="s">
        <v>851</v>
      </c>
      <c r="S26" s="1013"/>
      <c r="T26" s="1020" t="str">
        <f>"Средневзвешенная стоимость 1 кВт.ч"&amp;IF(TITLE_TYPE_ORG="Регулируемая организация"," (с учетом мощности)","")</f>
        <v>Средневзвешенная стоимость 1 кВт.ч</v>
      </c>
      <c r="U26" s="1020" t="s">
        <v>2197</v>
      </c>
      <c r="V26" s="1020" t="s">
        <v>2197</v>
      </c>
      <c r="W26" s="1020" t="s">
        <v>2197</v>
      </c>
      <c r="X26" s="899"/>
      <c r="Y26" s="1056"/>
      <c r="Z26" s="902"/>
      <c r="AA26" s="905"/>
      <c r="AB26" s="902"/>
      <c r="AC26" s="902"/>
      <c r="AD26" s="902"/>
    </row>
    <row customHeight="1" ht="18">
      <c r="A27" s="901"/>
      <c r="B27" s="955">
        <v>10</v>
      </c>
      <c r="C27" s="899" t="s">
        <v>789</v>
      </c>
      <c r="D27" s="1023"/>
      <c r="E27" s="899"/>
      <c r="F27" s="899"/>
      <c r="G27" s="947"/>
      <c r="H27" s="1014"/>
      <c r="I27" s="1061" t="str">
        <f>INDEX(TEMPLATE_NUMBER_POINT_FHD,B27,MATCH(TEMPLATE_SPHERE,TEMPLATE_SPHERE_LIST_FOR_NOTE,0))</f>
        <v>2.2.2</v>
      </c>
      <c r="J27" s="1061" t="str">
        <f>INDEX(TEMPLATE_DATA_POINT_FHD,B27,MATCH(TEMPLATE_SPHERE,TEMPLATE_SPHERE_LIST_FOR_NOTE,0))</f>
        <v>Объём приобретения электрической энергии</v>
      </c>
      <c r="K27" s="1061">
        <f>INDEX(TEMPLATE_NOTE_POINT_FHD,B27,MATCH(TEMPLATE_SPHERE,TEMPLATE_SPHERE_LIST_FOR_NOTE,0))</f>
        <v>0</v>
      </c>
      <c r="L27" s="900" t="str">
        <f>IF(I27=0,"",I27)</f>
        <v>2.2.2</v>
      </c>
      <c r="M27" s="900" t="str">
        <f>IF(J27=0,"",J27)</f>
        <v>Объём приобретения электрической энергии</v>
      </c>
      <c r="N27" s="900" t="str">
        <f>IF(K27=0,"",K27)</f>
        <v/>
      </c>
      <c r="O27" s="1013" t="s">
        <v>859</v>
      </c>
      <c r="P27" s="1013" t="s">
        <v>853</v>
      </c>
      <c r="Q27" s="1013" t="s">
        <v>2198</v>
      </c>
      <c r="R27" s="1013" t="s">
        <v>853</v>
      </c>
      <c r="S27" s="1013"/>
      <c r="T27" s="1020" t="s">
        <v>2199</v>
      </c>
      <c r="U27" s="1020" t="s">
        <v>2199</v>
      </c>
      <c r="V27" s="1020" t="s">
        <v>2199</v>
      </c>
      <c r="W27" s="1020" t="s">
        <v>2199</v>
      </c>
      <c r="X27" s="899"/>
      <c r="Y27" s="1056"/>
      <c r="Z27" s="902"/>
      <c r="AA27" s="905"/>
      <c r="AB27" s="902"/>
      <c r="AC27" s="902"/>
      <c r="AD27" s="902"/>
    </row>
    <row customHeight="1" ht="27">
      <c r="A28" s="901"/>
      <c r="B28" s="955">
        <v>11</v>
      </c>
      <c r="C28" s="899">
        <v>7</v>
      </c>
      <c r="D28" s="1023"/>
      <c r="E28" s="899"/>
      <c r="F28" s="899"/>
      <c r="G28" s="947"/>
      <c r="H28" s="1014"/>
      <c r="I28" s="1061">
        <f>INDEX(TEMPLATE_NUMBER_POINT_FHD,B28,MATCH(TEMPLATE_SPHERE,TEMPLATE_SPHERE_LIST_FOR_NOTE,0))</f>
        <v>0</v>
      </c>
      <c r="J28" s="1061">
        <f>INDEX(TEMPLATE_DATA_POINT_FHD,B28,MATCH(TEMPLATE_SPHERE,TEMPLATE_SPHERE_LIST_FOR_NOTE,0))</f>
        <v>0</v>
      </c>
      <c r="K28" s="1061">
        <f>INDEX(TEMPLATE_NOTE_POINT_FHD,B28,MATCH(TEMPLATE_SPHERE,TEMPLATE_SPHERE_LIST_FOR_NOTE,0))</f>
        <v>0</v>
      </c>
      <c r="L28" s="900" t="str">
        <f>IF(I28=0,"",I28)</f>
        <v/>
      </c>
      <c r="M28" s="900" t="str">
        <f>IF(J28=0,"",J28)</f>
        <v/>
      </c>
      <c r="N28" s="900" t="str">
        <f>IF(K28=0,"",K28)</f>
        <v/>
      </c>
      <c r="O28" s="1013" t="s">
        <v>861</v>
      </c>
      <c r="P28" s="1013"/>
      <c r="Q28" s="1013"/>
      <c r="R28" s="1013"/>
      <c r="S28" s="1013"/>
      <c r="T28" s="1020" t="s">
        <v>2200</v>
      </c>
      <c r="U28" s="902"/>
      <c r="V28" s="902"/>
      <c r="W28" s="902"/>
      <c r="X28" s="899"/>
      <c r="Y28" s="1056"/>
      <c r="Z28" s="902"/>
      <c r="AA28" s="905"/>
      <c r="AB28" s="902"/>
      <c r="AC28" s="902"/>
      <c r="AD28" s="902"/>
    </row>
    <row customHeight="1" ht="27">
      <c r="A29" s="901"/>
      <c r="B29" s="955">
        <v>12</v>
      </c>
      <c r="C29" s="899">
        <v>8</v>
      </c>
      <c r="D29" s="1023"/>
      <c r="E29" s="899"/>
      <c r="F29" s="899"/>
      <c r="G29" s="947"/>
      <c r="H29" s="1014"/>
      <c r="I29" s="1061" t="str">
        <f>INDEX(TEMPLATE_NUMBER_POINT_FHD,B29,MATCH(TEMPLATE_SPHERE,TEMPLATE_SPHERE_LIST_FOR_NOTE,0))</f>
        <v>2.3</v>
      </c>
      <c r="J29" s="1061" t="str">
        <f>INDEX(TEMPLATE_DATA_POINT_FHD,B29,MATCH(TEMPLATE_SPHERE,TEMPLATE_SPHERE_LIST_FOR_NOTE,0))</f>
        <v>Расходы на химические реагенты, используемые в технологическом процессе</v>
      </c>
      <c r="K29" s="1061">
        <f>INDEX(TEMPLATE_NOTE_POINT_FHD,B29,MATCH(TEMPLATE_SPHERE,TEMPLATE_SPHERE_LIST_FOR_NOTE,0))</f>
        <v>0</v>
      </c>
      <c r="L29" s="900" t="str">
        <f>IF(I29=0,"",I29)</f>
        <v>2.3</v>
      </c>
      <c r="M29" s="900" t="str">
        <f>IF(J29=0,"",J29)</f>
        <v>Расходы на химические реагенты, используемые в технологическом процессе</v>
      </c>
      <c r="N29" s="900" t="str">
        <f>IF(K29=0,"",K29)</f>
        <v/>
      </c>
      <c r="O29" s="1013" t="s">
        <v>868</v>
      </c>
      <c r="P29" s="1013" t="s">
        <v>442</v>
      </c>
      <c r="Q29" s="1013"/>
      <c r="R29" s="1013" t="s">
        <v>442</v>
      </c>
      <c r="S29" s="1013"/>
      <c r="T29" s="102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902" t="s">
        <v>2201</v>
      </c>
      <c r="V29" s="902"/>
      <c r="W29" s="902" t="s">
        <v>2201</v>
      </c>
      <c r="X29" s="899"/>
      <c r="Y29" s="1056"/>
      <c r="Z29" s="902"/>
      <c r="AA29" s="905"/>
      <c r="AB29" s="902"/>
      <c r="AC29" s="902"/>
      <c r="AD29" s="902"/>
    </row>
    <row customHeight="1" ht="54">
      <c r="A30" s="901"/>
      <c r="B30" s="955">
        <v>13</v>
      </c>
      <c r="C30" s="899">
        <v>9</v>
      </c>
      <c r="D30" s="1023"/>
      <c r="E30" s="899"/>
      <c r="F30" s="899"/>
      <c r="G30" s="947"/>
      <c r="H30" s="1014"/>
      <c r="I30" s="1061" t="str">
        <f>INDEX(TEMPLATE_NUMBER_POINT_FHD,B30,MATCH(TEMPLATE_SPHERE,TEMPLATE_SPHERE_LIST_FOR_NOTE,0))</f>
        <v>2.4</v>
      </c>
      <c r="J30" s="1061"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61"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900" t="str">
        <f>IF(I30=0,"",I30)</f>
        <v>2.4</v>
      </c>
      <c r="M30" s="900"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00" t="str">
        <f>IF(K30=0,"",K30)</f>
        <v>Указывается общая сумма расходов на оплату труда и отчислений на социальные нужды основного производственного персонала.</v>
      </c>
      <c r="O30" s="1013" t="s">
        <v>870</v>
      </c>
      <c r="P30" s="1013" t="s">
        <v>861</v>
      </c>
      <c r="Q30" s="1013" t="s">
        <v>870</v>
      </c>
      <c r="R30" s="1013" t="s">
        <v>861</v>
      </c>
      <c r="S30" s="1013"/>
      <c r="T30" s="1020" t="s">
        <v>2202</v>
      </c>
      <c r="U30" s="902" t="s">
        <v>2202</v>
      </c>
      <c r="V30" s="902" t="s">
        <v>2202</v>
      </c>
      <c r="W30" s="902" t="s">
        <v>2202</v>
      </c>
      <c r="X30" s="899"/>
      <c r="Y30" s="1056"/>
      <c r="Z30" s="902"/>
      <c r="AA30" s="905" t="s">
        <v>2203</v>
      </c>
      <c r="AB30" s="905" t="s">
        <v>2203</v>
      </c>
      <c r="AC30" s="905" t="s">
        <v>2203</v>
      </c>
      <c r="AD30" s="902"/>
    </row>
    <row customHeight="1" ht="18">
      <c r="A31" s="901"/>
      <c r="B31" s="955">
        <v>14</v>
      </c>
      <c r="C31" s="899" t="s">
        <v>2204</v>
      </c>
      <c r="D31" s="1023"/>
      <c r="E31" s="899"/>
      <c r="F31" s="899"/>
      <c r="G31" s="947"/>
      <c r="H31" s="1014"/>
      <c r="I31" s="1061" t="str">
        <f>INDEX(TEMPLATE_NUMBER_POINT_FHD,B31,MATCH(TEMPLATE_SPHERE,TEMPLATE_SPHERE_LIST_FOR_NOTE,0))</f>
        <v>2.4.1</v>
      </c>
      <c r="J31" s="1061" t="str">
        <f>INDEX(TEMPLATE_DATA_POINT_FHD,B31,MATCH(TEMPLATE_SPHERE,TEMPLATE_SPHERE_LIST_FOR_NOTE,0))</f>
        <v>Расходы на оплату труда основного производственного персонала</v>
      </c>
      <c r="K31" s="1061">
        <f>INDEX(TEMPLATE_NOTE_POINT_FHD,B31,MATCH(TEMPLATE_SPHERE,TEMPLATE_SPHERE_LIST_FOR_NOTE,0))</f>
        <v>0</v>
      </c>
      <c r="L31" s="900" t="str">
        <f>IF(I31=0,"",I31)</f>
        <v>2.4.1</v>
      </c>
      <c r="M31" s="900" t="str">
        <f>IF(J31=0,"",J31)</f>
        <v>Расходы на оплату труда основного производственного персонала</v>
      </c>
      <c r="N31" s="900" t="str">
        <f>IF(K31=0,"",K31)</f>
        <v/>
      </c>
      <c r="O31" s="1013" t="s">
        <v>2205</v>
      </c>
      <c r="P31" s="1013" t="s">
        <v>864</v>
      </c>
      <c r="Q31" s="1013" t="s">
        <v>2205</v>
      </c>
      <c r="R31" s="1013" t="s">
        <v>864</v>
      </c>
      <c r="S31" s="1013"/>
      <c r="T31" s="1021" t="s">
        <v>2206</v>
      </c>
      <c r="U31" s="902" t="s">
        <v>2206</v>
      </c>
      <c r="V31" s="902" t="s">
        <v>2206</v>
      </c>
      <c r="W31" s="902" t="s">
        <v>2206</v>
      </c>
      <c r="X31" s="899"/>
      <c r="Y31" s="1056"/>
      <c r="Z31" s="902"/>
      <c r="AA31" s="905"/>
      <c r="AB31" s="905"/>
      <c r="AC31" s="905"/>
      <c r="AD31" s="902"/>
    </row>
    <row customHeight="1" ht="36">
      <c r="A32" s="901"/>
      <c r="B32" s="955">
        <v>15</v>
      </c>
      <c r="C32" s="899" t="s">
        <v>2207</v>
      </c>
      <c r="D32" s="1023"/>
      <c r="E32" s="899"/>
      <c r="F32" s="899"/>
      <c r="G32" s="947"/>
      <c r="H32" s="1014"/>
      <c r="I32" s="1061" t="str">
        <f>INDEX(TEMPLATE_NUMBER_POINT_FHD,B32,MATCH(TEMPLATE_SPHERE,TEMPLATE_SPHERE_LIST_FOR_NOTE,0))</f>
        <v>2.4.2</v>
      </c>
      <c r="J32" s="1061"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61">
        <f>INDEX(TEMPLATE_NOTE_POINT_FHD,B32,MATCH(TEMPLATE_SPHERE,TEMPLATE_SPHERE_LIST_FOR_NOTE,0))</f>
        <v>0</v>
      </c>
      <c r="L32" s="900" t="str">
        <f>IF(I32=0,"",I32)</f>
        <v>2.4.2</v>
      </c>
      <c r="M32" s="900" t="str">
        <f>IF(J32=0,"",J32)</f>
        <v>Страховые взносы на обязательное социальное страхование, выплачиваемые из фонда оплаты труда основного производственного персонала</v>
      </c>
      <c r="N32" s="900" t="str">
        <f>IF(K32=0,"",K32)</f>
        <v/>
      </c>
      <c r="O32" s="1013" t="s">
        <v>2208</v>
      </c>
      <c r="P32" s="1013" t="s">
        <v>866</v>
      </c>
      <c r="Q32" s="1013" t="s">
        <v>2208</v>
      </c>
      <c r="R32" s="1013" t="s">
        <v>866</v>
      </c>
      <c r="S32" s="1013"/>
      <c r="T32" s="102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902" t="s">
        <v>2209</v>
      </c>
      <c r="V32" s="902" t="s">
        <v>2209</v>
      </c>
      <c r="W32" s="902" t="s">
        <v>2209</v>
      </c>
      <c r="X32" s="899"/>
      <c r="Y32" s="1056"/>
      <c r="Z32" s="902"/>
      <c r="AA32" s="905"/>
      <c r="AB32" s="905"/>
      <c r="AC32" s="905"/>
      <c r="AD32" s="902"/>
    </row>
    <row customHeight="1" ht="45">
      <c r="A33" s="901"/>
      <c r="B33" s="955">
        <v>16</v>
      </c>
      <c r="C33" s="899">
        <v>10</v>
      </c>
      <c r="D33" s="1023"/>
      <c r="E33" s="899"/>
      <c r="F33" s="899"/>
      <c r="G33" s="947"/>
      <c r="H33" s="1014"/>
      <c r="I33" s="1061" t="str">
        <f>INDEX(TEMPLATE_NUMBER_POINT_FHD,B33,MATCH(TEMPLATE_SPHERE,TEMPLATE_SPHERE_LIST_FOR_NOTE,0))</f>
        <v>2.5</v>
      </c>
      <c r="J33" s="1061"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61"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900" t="str">
        <f>IF(I33=0,"",I33)</f>
        <v>2.5</v>
      </c>
      <c r="M33" s="900"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00" t="str">
        <f>IF(K33=0,"",K33)</f>
        <v>Указывается общая сумма расходов на оплату труда и отчислений на социальные нужды административно-управленческого персонала.</v>
      </c>
      <c r="O33" s="1013" t="s">
        <v>872</v>
      </c>
      <c r="P33" s="1013" t="s">
        <v>868</v>
      </c>
      <c r="Q33" s="1013" t="s">
        <v>872</v>
      </c>
      <c r="R33" s="1013" t="s">
        <v>868</v>
      </c>
      <c r="S33" s="1013"/>
      <c r="T33" s="102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902" t="s">
        <v>2210</v>
      </c>
      <c r="V33" s="902" t="s">
        <v>2210</v>
      </c>
      <c r="W33" s="902" t="s">
        <v>2211</v>
      </c>
      <c r="X33" s="899"/>
      <c r="Y33" s="1056"/>
      <c r="Z33" s="902"/>
      <c r="AA33" s="905" t="s">
        <v>2212</v>
      </c>
      <c r="AB33" s="905" t="s">
        <v>2212</v>
      </c>
      <c r="AC33" s="905" t="s">
        <v>2212</v>
      </c>
      <c r="AD33" s="902"/>
    </row>
    <row customHeight="1" ht="27">
      <c r="A34" s="901"/>
      <c r="B34" s="955">
        <v>17</v>
      </c>
      <c r="C34" s="899" t="s">
        <v>2213</v>
      </c>
      <c r="D34" s="1023"/>
      <c r="E34" s="899"/>
      <c r="F34" s="899"/>
      <c r="G34" s="947"/>
      <c r="H34" s="1014"/>
      <c r="I34" s="1061" t="str">
        <f>INDEX(TEMPLATE_NUMBER_POINT_FHD,B34,MATCH(TEMPLATE_SPHERE,TEMPLATE_SPHERE_LIST_FOR_NOTE,0))</f>
        <v>2.5.1</v>
      </c>
      <c r="J34" s="1061" t="str">
        <f>INDEX(TEMPLATE_DATA_POINT_FHD,B34,MATCH(TEMPLATE_SPHERE,TEMPLATE_SPHERE_LIST_FOR_NOTE,0))</f>
        <v>Расходы на оплату труда административно-управленческого персонала</v>
      </c>
      <c r="K34" s="1061">
        <f>INDEX(TEMPLATE_NOTE_POINT_FHD,B34,MATCH(TEMPLATE_SPHERE,TEMPLATE_SPHERE_LIST_FOR_NOTE,0))</f>
        <v>0</v>
      </c>
      <c r="L34" s="900" t="str">
        <f>IF(I34=0,"",I34)</f>
        <v>2.5.1</v>
      </c>
      <c r="M34" s="900" t="str">
        <f>IF(J34=0,"",J34)</f>
        <v>Расходы на оплату труда административно-управленческого персонала</v>
      </c>
      <c r="N34" s="900" t="str">
        <f>IF(K34=0,"",K34)</f>
        <v/>
      </c>
      <c r="O34" s="1013" t="s">
        <v>2214</v>
      </c>
      <c r="P34" s="1013" t="s">
        <v>2196</v>
      </c>
      <c r="Q34" s="1013" t="s">
        <v>2214</v>
      </c>
      <c r="R34" s="1013" t="s">
        <v>2196</v>
      </c>
      <c r="S34" s="1013"/>
      <c r="T34" s="1022" t="s">
        <v>2215</v>
      </c>
      <c r="U34" s="902" t="s">
        <v>2215</v>
      </c>
      <c r="V34" s="902" t="s">
        <v>2215</v>
      </c>
      <c r="W34" s="902" t="s">
        <v>2216</v>
      </c>
      <c r="X34" s="899"/>
      <c r="Y34" s="1056"/>
      <c r="Z34" s="902"/>
      <c r="AA34" s="905"/>
      <c r="AB34" s="902"/>
      <c r="AC34" s="902"/>
      <c r="AD34" s="902"/>
    </row>
    <row customHeight="1" ht="45">
      <c r="A35" s="901"/>
      <c r="B35" s="955">
        <v>18</v>
      </c>
      <c r="C35" s="899" t="s">
        <v>2217</v>
      </c>
      <c r="D35" s="1023"/>
      <c r="E35" s="899"/>
      <c r="F35" s="899"/>
      <c r="G35" s="947"/>
      <c r="H35" s="1014"/>
      <c r="I35" s="1061" t="str">
        <f>INDEX(TEMPLATE_NUMBER_POINT_FHD,B35,MATCH(TEMPLATE_SPHERE,TEMPLATE_SPHERE_LIST_FOR_NOTE,0))</f>
        <v>2.5.2</v>
      </c>
      <c r="J35" s="1061"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61">
        <f>INDEX(TEMPLATE_NOTE_POINT_FHD,B35,MATCH(TEMPLATE_SPHERE,TEMPLATE_SPHERE_LIST_FOR_NOTE,0))</f>
        <v>0</v>
      </c>
      <c r="L35" s="900" t="str">
        <f>IF(I35=0,"",I35)</f>
        <v>2.5.2</v>
      </c>
      <c r="M35" s="900"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00" t="str">
        <f>IF(K35=0,"",K35)</f>
        <v/>
      </c>
      <c r="O35" s="1013" t="s">
        <v>2218</v>
      </c>
      <c r="P35" s="1013" t="s">
        <v>2198</v>
      </c>
      <c r="Q35" s="1013" t="s">
        <v>2218</v>
      </c>
      <c r="R35" s="1013" t="s">
        <v>2198</v>
      </c>
      <c r="S35" s="1013"/>
      <c r="T35" s="102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902" t="s">
        <v>2219</v>
      </c>
      <c r="V35" s="902" t="s">
        <v>2219</v>
      </c>
      <c r="W35" s="902" t="s">
        <v>2219</v>
      </c>
      <c r="X35" s="899"/>
      <c r="Y35" s="1056"/>
      <c r="Z35" s="902"/>
      <c r="AA35" s="905"/>
      <c r="AB35" s="902"/>
      <c r="AC35" s="902"/>
      <c r="AD35" s="902"/>
    </row>
    <row customHeight="1" ht="18">
      <c r="A36" s="901"/>
      <c r="B36" s="955">
        <v>19</v>
      </c>
      <c r="C36" s="899">
        <v>11</v>
      </c>
      <c r="D36" s="1023"/>
      <c r="E36" s="899"/>
      <c r="F36" s="899"/>
      <c r="G36" s="947"/>
      <c r="H36" s="1014"/>
      <c r="I36" s="1061" t="str">
        <f>INDEX(TEMPLATE_NUMBER_POINT_FHD,B36,MATCH(TEMPLATE_SPHERE,TEMPLATE_SPHERE_LIST_FOR_NOTE,0))</f>
        <v>2.6</v>
      </c>
      <c r="J36" s="1061" t="str">
        <f>INDEX(TEMPLATE_DATA_POINT_FHD,B36,MATCH(TEMPLATE_SPHERE,TEMPLATE_SPHERE_LIST_FOR_NOTE,0))</f>
        <v>Расходы на амортизацию основных средств и нематериальных активов</v>
      </c>
      <c r="K36" s="1061">
        <f>INDEX(TEMPLATE_NOTE_POINT_FHD,B36,MATCH(TEMPLATE_SPHERE,TEMPLATE_SPHERE_LIST_FOR_NOTE,0))</f>
        <v>0</v>
      </c>
      <c r="L36" s="900" t="str">
        <f>IF(I36=0,"",I36)</f>
        <v>2.6</v>
      </c>
      <c r="M36" s="900" t="str">
        <f>IF(J36=0,"",J36)</f>
        <v>Расходы на амортизацию основных средств и нематериальных активов</v>
      </c>
      <c r="N36" s="900" t="str">
        <f>IF(K36=0,"",K36)</f>
        <v/>
      </c>
      <c r="O36" s="1013" t="s">
        <v>874</v>
      </c>
      <c r="P36" s="1013" t="s">
        <v>870</v>
      </c>
      <c r="Q36" s="1013" t="s">
        <v>874</v>
      </c>
      <c r="R36" s="1013" t="s">
        <v>870</v>
      </c>
      <c r="S36" s="1013"/>
      <c r="T36" s="1020" t="s">
        <v>2220</v>
      </c>
      <c r="U36" s="902" t="s">
        <v>2220</v>
      </c>
      <c r="V36" s="902" t="s">
        <v>2220</v>
      </c>
      <c r="W36" s="902" t="s">
        <v>2220</v>
      </c>
      <c r="X36" s="899"/>
      <c r="Y36" s="1056"/>
      <c r="Z36" s="902"/>
      <c r="AA36" s="905"/>
      <c r="AB36" s="902"/>
      <c r="AC36" s="902"/>
      <c r="AD36" s="902"/>
    </row>
    <row customHeight="1" ht="18">
      <c r="A37" s="901"/>
      <c r="B37" s="955">
        <v>20</v>
      </c>
      <c r="C37" s="899" t="s">
        <v>2221</v>
      </c>
      <c r="D37" s="1023"/>
      <c r="E37" s="899"/>
      <c r="F37" s="899"/>
      <c r="G37" s="947"/>
      <c r="H37" s="1014"/>
      <c r="I37" s="1061" t="str">
        <f>INDEX(TEMPLATE_NUMBER_POINT_FHD,B37,MATCH(TEMPLATE_SPHERE,TEMPLATE_SPHERE_LIST_FOR_NOTE,0))</f>
        <v>2.6.1</v>
      </c>
      <c r="J37" s="1061" t="str">
        <f>INDEX(TEMPLATE_DATA_POINT_FHD,B37,MATCH(TEMPLATE_SPHERE,TEMPLATE_SPHERE_LIST_FOR_NOTE,0))</f>
        <v>Расходы на амортизацию основных средств</v>
      </c>
      <c r="K37" s="1061">
        <f>INDEX(TEMPLATE_NOTE_POINT_FHD,B37,MATCH(TEMPLATE_SPHERE,TEMPLATE_SPHERE_LIST_FOR_NOTE,0))</f>
        <v>0</v>
      </c>
      <c r="L37" s="900" t="str">
        <f>IF(I37=0,"",I37)</f>
        <v>2.6.1</v>
      </c>
      <c r="M37" s="900" t="str">
        <f>IF(J37=0,"",J37)</f>
        <v>Расходы на амортизацию основных средств</v>
      </c>
      <c r="N37" s="900" t="str">
        <f>IF(K37=0,"",K37)</f>
        <v/>
      </c>
      <c r="O37" s="1013" t="s">
        <v>2222</v>
      </c>
      <c r="P37" s="1013" t="s">
        <v>2205</v>
      </c>
      <c r="Q37" s="1013" t="s">
        <v>2222</v>
      </c>
      <c r="R37" s="1013" t="s">
        <v>2205</v>
      </c>
      <c r="S37" s="1013"/>
      <c r="T37" s="1020" t="s">
        <v>2223</v>
      </c>
      <c r="U37" s="902" t="s">
        <v>2223</v>
      </c>
      <c r="V37" s="902" t="s">
        <v>2223</v>
      </c>
      <c r="W37" s="902" t="s">
        <v>2223</v>
      </c>
      <c r="X37" s="899"/>
      <c r="Y37" s="1056"/>
      <c r="Z37" s="902"/>
      <c r="AA37" s="905"/>
      <c r="AB37" s="902"/>
      <c r="AC37" s="902"/>
      <c r="AD37" s="902"/>
    </row>
    <row customHeight="1" ht="18">
      <c r="A38" s="901"/>
      <c r="B38" s="955">
        <v>21</v>
      </c>
      <c r="C38" s="899" t="s">
        <v>2224</v>
      </c>
      <c r="D38" s="1023"/>
      <c r="E38" s="899"/>
      <c r="F38" s="899"/>
      <c r="G38" s="947"/>
      <c r="H38" s="1014"/>
      <c r="I38" s="1061" t="str">
        <f>INDEX(TEMPLATE_NUMBER_POINT_FHD,B38,MATCH(TEMPLATE_SPHERE,TEMPLATE_SPHERE_LIST_FOR_NOTE,0))</f>
        <v>2.6.2</v>
      </c>
      <c r="J38" s="1061" t="str">
        <f>INDEX(TEMPLATE_DATA_POINT_FHD,B38,MATCH(TEMPLATE_SPHERE,TEMPLATE_SPHERE_LIST_FOR_NOTE,0))</f>
        <v>Расходы на амортизацию нематериальных активов</v>
      </c>
      <c r="K38" s="1061">
        <f>INDEX(TEMPLATE_NOTE_POINT_FHD,B38,MATCH(TEMPLATE_SPHERE,TEMPLATE_SPHERE_LIST_FOR_NOTE,0))</f>
        <v>0</v>
      </c>
      <c r="L38" s="900" t="str">
        <f>IF(I38=0,"",I38)</f>
        <v>2.6.2</v>
      </c>
      <c r="M38" s="900" t="str">
        <f>IF(J38=0,"",J38)</f>
        <v>Расходы на амортизацию нематериальных активов</v>
      </c>
      <c r="N38" s="900" t="str">
        <f>IF(K38=0,"",K38)</f>
        <v/>
      </c>
      <c r="O38" s="1013" t="s">
        <v>2225</v>
      </c>
      <c r="P38" s="1013" t="s">
        <v>2208</v>
      </c>
      <c r="Q38" s="1013" t="s">
        <v>2225</v>
      </c>
      <c r="R38" s="1013" t="s">
        <v>2208</v>
      </c>
      <c r="S38" s="1013"/>
      <c r="T38" s="1020" t="s">
        <v>2226</v>
      </c>
      <c r="U38" s="902" t="s">
        <v>2226</v>
      </c>
      <c r="V38" s="902" t="s">
        <v>2226</v>
      </c>
      <c r="W38" s="902" t="s">
        <v>2226</v>
      </c>
      <c r="X38" s="899"/>
      <c r="Y38" s="1056"/>
      <c r="Z38" s="902"/>
      <c r="AA38" s="905"/>
      <c r="AB38" s="902"/>
      <c r="AC38" s="902"/>
      <c r="AD38" s="902"/>
    </row>
    <row customHeight="1" ht="36">
      <c r="A39" s="901"/>
      <c r="B39" s="955">
        <v>22</v>
      </c>
      <c r="C39" s="899">
        <v>12</v>
      </c>
      <c r="D39" s="1023"/>
      <c r="E39" s="899"/>
      <c r="F39" s="899"/>
      <c r="G39" s="947"/>
      <c r="H39" s="1014"/>
      <c r="I39" s="1061" t="str">
        <f>INDEX(TEMPLATE_NUMBER_POINT_FHD,B39,MATCH(TEMPLATE_SPHERE,TEMPLATE_SPHERE_LIST_FOR_NOTE,0))</f>
        <v>2.7</v>
      </c>
      <c r="J39" s="1061"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061">
        <f>INDEX(TEMPLATE_NOTE_POINT_FHD,B39,MATCH(TEMPLATE_SPHERE,TEMPLATE_SPHERE_LIST_FOR_NOTE,0))</f>
        <v>0</v>
      </c>
      <c r="L39" s="900" t="str">
        <f>IF(I39=0,"",I39)</f>
        <v>2.7</v>
      </c>
      <c r="M39" s="900" t="str">
        <f>IF(J39=0,"",J39)</f>
        <v>Расходы на аренду имущества, используемого для осуществления регулируемых видов деятельности в сфере холодного водоснабжения</v>
      </c>
      <c r="N39" s="900" t="str">
        <f>IF(K39=0,"",K39)</f>
        <v/>
      </c>
      <c r="O39" s="1013" t="s">
        <v>878</v>
      </c>
      <c r="P39" s="1013" t="s">
        <v>872</v>
      </c>
      <c r="Q39" s="1013" t="s">
        <v>878</v>
      </c>
      <c r="R39" s="1013" t="s">
        <v>872</v>
      </c>
      <c r="S39" s="1013"/>
      <c r="T39" s="1020" t="s">
        <v>2227</v>
      </c>
      <c r="U39" s="902" t="s">
        <v>2228</v>
      </c>
      <c r="V39" s="902" t="s">
        <v>2229</v>
      </c>
      <c r="W39" s="902" t="s">
        <v>2230</v>
      </c>
      <c r="X39" s="899"/>
      <c r="Y39" s="1056"/>
      <c r="Z39" s="902"/>
      <c r="AA39" s="905"/>
      <c r="AB39" s="902"/>
      <c r="AC39" s="902"/>
      <c r="AD39" s="902"/>
    </row>
    <row customHeight="1" ht="18">
      <c r="A40" s="901"/>
      <c r="B40" s="955">
        <v>23</v>
      </c>
      <c r="C40" s="899">
        <v>13</v>
      </c>
      <c r="D40" s="1023"/>
      <c r="E40" s="899"/>
      <c r="F40" s="899"/>
      <c r="G40" s="899"/>
      <c r="H40" s="950"/>
      <c r="I40" s="1061" t="str">
        <f>INDEX(TEMPLATE_NUMBER_POINT_FHD,B40,MATCH(TEMPLATE_SPHERE,TEMPLATE_SPHERE_LIST_FOR_NOTE,0))</f>
        <v>2.8</v>
      </c>
      <c r="J40" s="1061" t="str">
        <f>INDEX(TEMPLATE_DATA_POINT_FHD,B40,MATCH(TEMPLATE_SPHERE,TEMPLATE_SPHERE_LIST_FOR_NOTE,0))</f>
        <v>Общепроизводственные расходы, в том числе:</v>
      </c>
      <c r="K40" s="1061" t="str">
        <f>INDEX(TEMPLATE_NOTE_POINT_FHD,B40,MATCH(TEMPLATE_SPHERE,TEMPLATE_SPHERE_LIST_FOR_NOTE,0))</f>
        <v>Указывается общая сумма общепроизводственных расходов.</v>
      </c>
      <c r="L40" s="900" t="str">
        <f>IF(I40=0,"",I40)</f>
        <v>2.8</v>
      </c>
      <c r="M40" s="900" t="str">
        <f>IF(J40=0,"",J40)</f>
        <v>Общепроизводственные расходы, в том числе:</v>
      </c>
      <c r="N40" s="900" t="str">
        <f>IF(K40=0,"",K40)</f>
        <v>Указывается общая сумма общепроизводственных расходов.</v>
      </c>
      <c r="O40" s="1013" t="s">
        <v>2231</v>
      </c>
      <c r="P40" s="1013" t="s">
        <v>874</v>
      </c>
      <c r="Q40" s="1013" t="s">
        <v>2231</v>
      </c>
      <c r="R40" s="1013" t="s">
        <v>874</v>
      </c>
      <c r="S40" s="1013"/>
      <c r="T40" s="899" t="s">
        <v>2232</v>
      </c>
      <c r="U40" s="899" t="s">
        <v>2232</v>
      </c>
      <c r="V40" s="899" t="s">
        <v>2232</v>
      </c>
      <c r="W40" s="899" t="s">
        <v>2232</v>
      </c>
      <c r="X40" s="899"/>
      <c r="Y40" s="1056"/>
      <c r="Z40" s="902" t="s">
        <v>2233</v>
      </c>
      <c r="AA40" s="905" t="s">
        <v>2233</v>
      </c>
      <c r="AB40" s="905" t="s">
        <v>2233</v>
      </c>
      <c r="AC40" s="905" t="s">
        <v>2233</v>
      </c>
      <c r="AD40" s="902"/>
    </row>
    <row customHeight="1" ht="27">
      <c r="A41" s="901"/>
      <c r="B41" s="955">
        <v>24</v>
      </c>
      <c r="C41" s="899" t="s">
        <v>2234</v>
      </c>
      <c r="D41" s="1023"/>
      <c r="E41" s="899"/>
      <c r="F41" s="899"/>
      <c r="G41" s="899"/>
      <c r="H41" s="947"/>
      <c r="I41" s="1061" t="str">
        <f>INDEX(TEMPLATE_NUMBER_POINT_FHD,B41,MATCH(TEMPLATE_SPHERE,TEMPLATE_SPHERE_LIST_FOR_NOTE,0))</f>
        <v>2.8.1</v>
      </c>
      <c r="J41" s="1061" t="str">
        <f>INDEX(TEMPLATE_DATA_POINT_FHD,B41,MATCH(TEMPLATE_SPHERE,TEMPLATE_SPHERE_LIST_FOR_NOTE,0))</f>
        <v>Расходы на текущий ремонт</v>
      </c>
      <c r="K41" s="1061" t="str">
        <f>INDEX(TEMPLATE_NOTE_POINT_FHD,B41,MATCH(TEMPLATE_SPHERE,TEMPLATE_SPHERE_LIST_FOR_NOTE,0))</f>
        <v>Указываются расходы на текущий ремонт, отнесенные к общепроизводственным расходам.</v>
      </c>
      <c r="L41" s="900" t="str">
        <f>IF(I41=0,"",I41)</f>
        <v>2.8.1</v>
      </c>
      <c r="M41" s="900" t="str">
        <f>IF(J41=0,"",J41)</f>
        <v>Расходы на текущий ремонт</v>
      </c>
      <c r="N41" s="900" t="str">
        <f>IF(K41=0,"",K41)</f>
        <v>Указываются расходы на текущий ремонт, отнесенные к общепроизводственным расходам.</v>
      </c>
      <c r="O41" s="1013" t="s">
        <v>2235</v>
      </c>
      <c r="P41" s="1013" t="s">
        <v>2222</v>
      </c>
      <c r="Q41" s="1013" t="s">
        <v>2235</v>
      </c>
      <c r="R41" s="1013" t="s">
        <v>2222</v>
      </c>
      <c r="S41" s="1013"/>
      <c r="T41" s="899" t="s">
        <v>2236</v>
      </c>
      <c r="U41" s="899" t="s">
        <v>2236</v>
      </c>
      <c r="V41" s="899" t="s">
        <v>2236</v>
      </c>
      <c r="W41" s="899" t="s">
        <v>2236</v>
      </c>
      <c r="X41" s="899"/>
      <c r="Y41" s="1056"/>
      <c r="Z41" s="902" t="s">
        <v>2237</v>
      </c>
      <c r="AA41" s="902" t="s">
        <v>2237</v>
      </c>
      <c r="AB41" s="902" t="s">
        <v>2237</v>
      </c>
      <c r="AC41" s="902" t="s">
        <v>2237</v>
      </c>
      <c r="AD41" s="902"/>
    </row>
    <row customHeight="1" ht="27">
      <c r="A42" s="901"/>
      <c r="B42" s="955">
        <v>25</v>
      </c>
      <c r="C42" s="899" t="s">
        <v>2238</v>
      </c>
      <c r="D42" s="1023"/>
      <c r="E42" s="899"/>
      <c r="F42" s="899"/>
      <c r="G42" s="899"/>
      <c r="H42" s="947"/>
      <c r="I42" s="1061" t="str">
        <f>INDEX(TEMPLATE_NUMBER_POINT_FHD,B42,MATCH(TEMPLATE_SPHERE,TEMPLATE_SPHERE_LIST_FOR_NOTE,0))</f>
        <v>2.8.2</v>
      </c>
      <c r="J42" s="1061" t="str">
        <f>INDEX(TEMPLATE_DATA_POINT_FHD,B42,MATCH(TEMPLATE_SPHERE,TEMPLATE_SPHERE_LIST_FOR_NOTE,0))</f>
        <v>Расходы на капитальный ремонт</v>
      </c>
      <c r="K42" s="1061" t="str">
        <f>INDEX(TEMPLATE_NOTE_POINT_FHD,B42,MATCH(TEMPLATE_SPHERE,TEMPLATE_SPHERE_LIST_FOR_NOTE,0))</f>
        <v>Указываются расходы на капитальный ремонт, отнесенные к общепроизводственным расходам.</v>
      </c>
      <c r="L42" s="900" t="str">
        <f>IF(I42=0,"",I42)</f>
        <v>2.8.2</v>
      </c>
      <c r="M42" s="900" t="str">
        <f>IF(J42=0,"",J42)</f>
        <v>Расходы на капитальный ремонт</v>
      </c>
      <c r="N42" s="900" t="str">
        <f>IF(K42=0,"",K42)</f>
        <v>Указываются расходы на капитальный ремонт, отнесенные к общепроизводственным расходам.</v>
      </c>
      <c r="O42" s="1013" t="s">
        <v>2239</v>
      </c>
      <c r="P42" s="1013" t="s">
        <v>2225</v>
      </c>
      <c r="Q42" s="1013" t="s">
        <v>2239</v>
      </c>
      <c r="R42" s="1013" t="s">
        <v>2225</v>
      </c>
      <c r="S42" s="1013"/>
      <c r="T42" s="899" t="s">
        <v>2240</v>
      </c>
      <c r="U42" s="899" t="s">
        <v>2240</v>
      </c>
      <c r="V42" s="899" t="s">
        <v>2240</v>
      </c>
      <c r="W42" s="899" t="s">
        <v>2240</v>
      </c>
      <c r="X42" s="899"/>
      <c r="Y42" s="1056"/>
      <c r="Z42" s="902" t="s">
        <v>2241</v>
      </c>
      <c r="AA42" s="902" t="s">
        <v>2241</v>
      </c>
      <c r="AB42" s="902" t="s">
        <v>2241</v>
      </c>
      <c r="AC42" s="902" t="s">
        <v>2241</v>
      </c>
      <c r="AD42" s="902"/>
    </row>
    <row customHeight="1" ht="18">
      <c r="A43" s="901"/>
      <c r="B43" s="955">
        <v>26</v>
      </c>
      <c r="C43" s="899">
        <v>14</v>
      </c>
      <c r="D43" s="1023"/>
      <c r="E43" s="899"/>
      <c r="F43" s="899"/>
      <c r="G43" s="899"/>
      <c r="H43" s="947"/>
      <c r="I43" s="1061" t="str">
        <f>INDEX(TEMPLATE_NUMBER_POINT_FHD,B43,MATCH(TEMPLATE_SPHERE,TEMPLATE_SPHERE_LIST_FOR_NOTE,0))</f>
        <v>2.9</v>
      </c>
      <c r="J43" s="1061" t="str">
        <f>INDEX(TEMPLATE_DATA_POINT_FHD,B43,MATCH(TEMPLATE_SPHERE,TEMPLATE_SPHERE_LIST_FOR_NOTE,0))</f>
        <v>Общехозяйственные расходы, в том числе:</v>
      </c>
      <c r="K43" s="1061" t="str">
        <f>INDEX(TEMPLATE_NOTE_POINT_FHD,B43,MATCH(TEMPLATE_SPHERE,TEMPLATE_SPHERE_LIST_FOR_NOTE,0))</f>
        <v>Указывается общая сумма общехозяйственных расходов.</v>
      </c>
      <c r="L43" s="900" t="str">
        <f>IF(I43=0,"",I43)</f>
        <v>2.9</v>
      </c>
      <c r="M43" s="900" t="str">
        <f>IF(J43=0,"",J43)</f>
        <v>Общехозяйственные расходы, в том числе:</v>
      </c>
      <c r="N43" s="900" t="str">
        <f>IF(K43=0,"",K43)</f>
        <v>Указывается общая сумма общехозяйственных расходов.</v>
      </c>
      <c r="O43" s="1013" t="s">
        <v>2242</v>
      </c>
      <c r="P43" s="1013" t="s">
        <v>878</v>
      </c>
      <c r="Q43" s="1013" t="s">
        <v>2242</v>
      </c>
      <c r="R43" s="1013" t="s">
        <v>878</v>
      </c>
      <c r="S43" s="1013"/>
      <c r="T43" s="899" t="s">
        <v>2243</v>
      </c>
      <c r="U43" s="899" t="s">
        <v>2243</v>
      </c>
      <c r="V43" s="899" t="s">
        <v>2243</v>
      </c>
      <c r="W43" s="899" t="s">
        <v>2243</v>
      </c>
      <c r="X43" s="899"/>
      <c r="Y43" s="1056"/>
      <c r="Z43" s="902" t="s">
        <v>2244</v>
      </c>
      <c r="AA43" s="902" t="s">
        <v>2244</v>
      </c>
      <c r="AB43" s="902" t="s">
        <v>2244</v>
      </c>
      <c r="AC43" s="902" t="s">
        <v>2244</v>
      </c>
      <c r="AD43" s="902"/>
    </row>
    <row customHeight="1" ht="27">
      <c r="A44" s="901"/>
      <c r="B44" s="955">
        <v>27</v>
      </c>
      <c r="C44" s="899" t="s">
        <v>2245</v>
      </c>
      <c r="D44" s="1023"/>
      <c r="E44" s="899"/>
      <c r="F44" s="899"/>
      <c r="G44" s="899"/>
      <c r="H44" s="947"/>
      <c r="I44" s="1061" t="str">
        <f>INDEX(TEMPLATE_NUMBER_POINT_FHD,B44,MATCH(TEMPLATE_SPHERE,TEMPLATE_SPHERE_LIST_FOR_NOTE,0))</f>
        <v>2.9.1</v>
      </c>
      <c r="J44" s="1061" t="str">
        <f>INDEX(TEMPLATE_DATA_POINT_FHD,B44,MATCH(TEMPLATE_SPHERE,TEMPLATE_SPHERE_LIST_FOR_NOTE,0))</f>
        <v>Расходы на текущий ремонт</v>
      </c>
      <c r="K44" s="1061" t="str">
        <f>INDEX(TEMPLATE_NOTE_POINT_FHD,B44,MATCH(TEMPLATE_SPHERE,TEMPLATE_SPHERE_LIST_FOR_NOTE,0))</f>
        <v>Указываются расходы на текущий ремонт, отнесенные к общехозяйственным расходам.</v>
      </c>
      <c r="L44" s="900" t="str">
        <f>IF(I44=0,"",I44)</f>
        <v>2.9.1</v>
      </c>
      <c r="M44" s="900" t="str">
        <f>IF(J44=0,"",J44)</f>
        <v>Расходы на текущий ремонт</v>
      </c>
      <c r="N44" s="900" t="str">
        <f>IF(K44=0,"",K44)</f>
        <v>Указываются расходы на текущий ремонт, отнесенные к общехозяйственным расходам.</v>
      </c>
      <c r="O44" s="1013" t="s">
        <v>2246</v>
      </c>
      <c r="P44" s="1013" t="s">
        <v>2247</v>
      </c>
      <c r="Q44" s="1013" t="s">
        <v>2246</v>
      </c>
      <c r="R44" s="1013" t="s">
        <v>2247</v>
      </c>
      <c r="S44" s="1013"/>
      <c r="T44" s="899" t="s">
        <v>2236</v>
      </c>
      <c r="U44" s="899" t="s">
        <v>2236</v>
      </c>
      <c r="V44" s="899" t="s">
        <v>2236</v>
      </c>
      <c r="W44" s="899" t="s">
        <v>2236</v>
      </c>
      <c r="X44" s="899"/>
      <c r="Y44" s="1056"/>
      <c r="Z44" s="902" t="s">
        <v>2248</v>
      </c>
      <c r="AA44" s="902" t="s">
        <v>2248</v>
      </c>
      <c r="AB44" s="902" t="s">
        <v>2248</v>
      </c>
      <c r="AC44" s="902" t="s">
        <v>2248</v>
      </c>
      <c r="AD44" s="902"/>
    </row>
    <row customHeight="1" ht="27">
      <c r="A45" s="901"/>
      <c r="B45" s="955">
        <v>28</v>
      </c>
      <c r="C45" s="899" t="s">
        <v>2249</v>
      </c>
      <c r="D45" s="1023"/>
      <c r="E45" s="899"/>
      <c r="F45" s="899"/>
      <c r="G45" s="899"/>
      <c r="H45" s="947"/>
      <c r="I45" s="1061" t="str">
        <f>INDEX(TEMPLATE_NUMBER_POINT_FHD,B45,MATCH(TEMPLATE_SPHERE,TEMPLATE_SPHERE_LIST_FOR_NOTE,0))</f>
        <v>2.9.2</v>
      </c>
      <c r="J45" s="1061" t="str">
        <f>INDEX(TEMPLATE_DATA_POINT_FHD,B45,MATCH(TEMPLATE_SPHERE,TEMPLATE_SPHERE_LIST_FOR_NOTE,0))</f>
        <v>Расходы на капитальный ремонт</v>
      </c>
      <c r="K45" s="1061" t="str">
        <f>INDEX(TEMPLATE_NOTE_POINT_FHD,B45,MATCH(TEMPLATE_SPHERE,TEMPLATE_SPHERE_LIST_FOR_NOTE,0))</f>
        <v>Указываются расходы на капитальный ремонт, отнесенные к общехозяйственным расходам.</v>
      </c>
      <c r="L45" s="900" t="str">
        <f>IF(I45=0,"",I45)</f>
        <v>2.9.2</v>
      </c>
      <c r="M45" s="900" t="str">
        <f>IF(J45=0,"",J45)</f>
        <v>Расходы на капитальный ремонт</v>
      </c>
      <c r="N45" s="900" t="str">
        <f>IF(K45=0,"",K45)</f>
        <v>Указываются расходы на капитальный ремонт, отнесенные к общехозяйственным расходам.</v>
      </c>
      <c r="O45" s="1013" t="s">
        <v>2250</v>
      </c>
      <c r="P45" s="1013" t="s">
        <v>2251</v>
      </c>
      <c r="Q45" s="1013" t="s">
        <v>2250</v>
      </c>
      <c r="R45" s="1013" t="s">
        <v>2251</v>
      </c>
      <c r="S45" s="1013"/>
      <c r="T45" s="899" t="s">
        <v>2240</v>
      </c>
      <c r="U45" s="899" t="s">
        <v>2240</v>
      </c>
      <c r="V45" s="899" t="s">
        <v>2240</v>
      </c>
      <c r="W45" s="899" t="s">
        <v>2240</v>
      </c>
      <c r="X45" s="899"/>
      <c r="Y45" s="1056"/>
      <c r="Z45" s="902" t="s">
        <v>2252</v>
      </c>
      <c r="AA45" s="902" t="s">
        <v>2252</v>
      </c>
      <c r="AB45" s="902" t="s">
        <v>2252</v>
      </c>
      <c r="AC45" s="902" t="s">
        <v>2252</v>
      </c>
      <c r="AD45" s="902"/>
    </row>
    <row customHeight="1" ht="54">
      <c r="A46" s="901"/>
      <c r="B46" s="955">
        <v>29</v>
      </c>
      <c r="C46" s="899">
        <v>15</v>
      </c>
      <c r="D46" s="1023"/>
      <c r="E46" s="899"/>
      <c r="F46" s="899"/>
      <c r="G46" s="899"/>
      <c r="H46" s="947"/>
      <c r="I46" s="1061" t="str">
        <f>INDEX(TEMPLATE_NUMBER_POINT_FHD,B46,MATCH(TEMPLATE_SPHERE,TEMPLATE_SPHERE_LIST_FOR_NOTE,0))</f>
        <v>2.10</v>
      </c>
      <c r="J46" s="1061" t="str">
        <f>INDEX(TEMPLATE_DATA_POINT_FHD,B46,MATCH(TEMPLATE_SPHERE,TEMPLATE_SPHERE_LIST_FOR_NOTE,0))</f>
        <v>Расходы на капитальный и текущий ремонт основных средств</v>
      </c>
      <c r="K46" s="1061"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00" t="str">
        <f>IF(I46=0,"",I46)</f>
        <v>2.10</v>
      </c>
      <c r="M46" s="900" t="str">
        <f>IF(J46=0,"",J46)</f>
        <v>Расходы на капитальный и текущий ремонт основных средств</v>
      </c>
      <c r="N46" s="900"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13" t="s">
        <v>2253</v>
      </c>
      <c r="P46" s="1013" t="s">
        <v>2231</v>
      </c>
      <c r="Q46" s="1013" t="s">
        <v>2253</v>
      </c>
      <c r="R46" s="1013" t="s">
        <v>2231</v>
      </c>
      <c r="S46" s="1013"/>
      <c r="T46" s="90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99" t="s">
        <v>2254</v>
      </c>
      <c r="V46" s="899" t="s">
        <v>2254</v>
      </c>
      <c r="W46" s="899" t="s">
        <v>2254</v>
      </c>
      <c r="X46" s="899"/>
      <c r="Y46" s="1056"/>
      <c r="Z46" s="902" t="s">
        <v>2255</v>
      </c>
      <c r="AA46" s="902" t="s">
        <v>2256</v>
      </c>
      <c r="AB46" s="902" t="s">
        <v>2256</v>
      </c>
      <c r="AC46" s="902" t="s">
        <v>2256</v>
      </c>
      <c r="AD46" s="902"/>
    </row>
    <row customHeight="1" ht="54">
      <c r="A47" s="901"/>
      <c r="B47" s="955">
        <v>30</v>
      </c>
      <c r="C47" s="899" t="s">
        <v>2257</v>
      </c>
      <c r="D47" s="1023"/>
      <c r="E47" s="899"/>
      <c r="F47" s="899"/>
      <c r="G47" s="899"/>
      <c r="H47" s="947"/>
      <c r="I47" s="1061" t="str">
        <f>INDEX(TEMPLATE_NUMBER_POINT_FHD,B47,MATCH(TEMPLATE_SPHERE,TEMPLATE_SPHERE_LIST_FOR_NOTE,0))</f>
        <v>2.10.1</v>
      </c>
      <c r="J47" s="1061"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61">
        <f>INDEX(TEMPLATE_NOTE_POINT_FHD,B47,MATCH(TEMPLATE_SPHERE,TEMPLATE_SPHERE_LIST_FOR_NOTE,0))</f>
        <v>0</v>
      </c>
      <c r="L47" s="900" t="str">
        <f>IF(I47=0,"",I47)</f>
        <v>2.10.1</v>
      </c>
      <c r="M47" s="900"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00" t="str">
        <f>IF(K47=0,"",K47)</f>
        <v/>
      </c>
      <c r="O47" s="1013" t="s">
        <v>2258</v>
      </c>
      <c r="P47" s="1013" t="s">
        <v>2235</v>
      </c>
      <c r="Q47" s="1013" t="s">
        <v>2258</v>
      </c>
      <c r="R47" s="1013" t="s">
        <v>2235</v>
      </c>
      <c r="S47" s="1013"/>
      <c r="T47" s="899" t="s">
        <v>2259</v>
      </c>
      <c r="U47" s="899" t="s">
        <v>2259</v>
      </c>
      <c r="V47" s="899" t="s">
        <v>2259</v>
      </c>
      <c r="W47" s="899" t="s">
        <v>2259</v>
      </c>
      <c r="X47" s="899"/>
      <c r="Y47" s="1056"/>
      <c r="Z47" s="902"/>
      <c r="AA47" s="905"/>
      <c r="AB47" s="905"/>
      <c r="AC47" s="905"/>
      <c r="AD47" s="902"/>
    </row>
    <row customHeight="1" ht="54">
      <c r="A48" s="901"/>
      <c r="B48" s="955">
        <v>31</v>
      </c>
      <c r="C48" s="899">
        <v>16</v>
      </c>
      <c r="D48" s="1023"/>
      <c r="E48" s="899"/>
      <c r="F48" s="899"/>
      <c r="G48" s="899"/>
      <c r="H48" s="947"/>
      <c r="I48" s="1061" t="str">
        <f>INDEX(TEMPLATE_NUMBER_POINT_FHD,B48,MATCH(TEMPLATE_SPHERE,TEMPLATE_SPHERE_LIST_FOR_NOTE,0))</f>
        <v>2.11</v>
      </c>
      <c r="J48" s="1061"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061"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900" t="str">
        <f>IF(I48=0,"",I48)</f>
        <v>2.11</v>
      </c>
      <c r="M48" s="900"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900"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013"/>
      <c r="P48" s="1013" t="s">
        <v>2242</v>
      </c>
      <c r="Q48" s="1013" t="s">
        <v>2260</v>
      </c>
      <c r="R48" s="1013" t="s">
        <v>2242</v>
      </c>
      <c r="S48" s="1013"/>
      <c r="T48" s="899"/>
      <c r="U48" s="899" t="s">
        <v>2261</v>
      </c>
      <c r="V48" s="899" t="s">
        <v>2262</v>
      </c>
      <c r="W48" s="899" t="s">
        <v>2262</v>
      </c>
      <c r="X48" s="899"/>
      <c r="Y48" s="1056"/>
      <c r="Z48" s="902"/>
      <c r="AA48" s="905" t="s">
        <v>2256</v>
      </c>
      <c r="AB48" s="905" t="s">
        <v>2256</v>
      </c>
      <c r="AC48" s="905" t="s">
        <v>2256</v>
      </c>
      <c r="AD48" s="902"/>
    </row>
    <row customHeight="1" ht="54">
      <c r="A49" s="901"/>
      <c r="B49" s="955">
        <v>32</v>
      </c>
      <c r="C49" s="899" t="s">
        <v>2263</v>
      </c>
      <c r="D49" s="1023"/>
      <c r="E49" s="899"/>
      <c r="F49" s="899"/>
      <c r="G49" s="899"/>
      <c r="H49" s="947"/>
      <c r="I49" s="1061" t="str">
        <f>INDEX(TEMPLATE_NUMBER_POINT_FHD,B49,MATCH(TEMPLATE_SPHERE,TEMPLATE_SPHERE_LIST_FOR_NOTE,0))</f>
        <v>2.11.1</v>
      </c>
      <c r="J49" s="1061"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61">
        <f>INDEX(TEMPLATE_NOTE_POINT_FHD,B49,MATCH(TEMPLATE_SPHERE,TEMPLATE_SPHERE_LIST_FOR_NOTE,0))</f>
        <v>0</v>
      </c>
      <c r="L49" s="900" t="str">
        <f>IF(I49=0,"",I49)</f>
        <v>2.11.1</v>
      </c>
      <c r="M49" s="900"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900" t="str">
        <f>IF(K49=0,"",K49)</f>
        <v/>
      </c>
      <c r="O49" s="1013"/>
      <c r="P49" s="1013" t="s">
        <v>2246</v>
      </c>
      <c r="Q49" s="1013" t="s">
        <v>2264</v>
      </c>
      <c r="R49" s="1013" t="s">
        <v>2246</v>
      </c>
      <c r="S49" s="1013"/>
      <c r="T49" s="899"/>
      <c r="U49" s="899" t="s">
        <v>2259</v>
      </c>
      <c r="V49" s="899" t="s">
        <v>2259</v>
      </c>
      <c r="W49" s="899" t="s">
        <v>2259</v>
      </c>
      <c r="X49" s="899"/>
      <c r="Y49" s="1056"/>
      <c r="Z49" s="902"/>
      <c r="AA49" s="905"/>
      <c r="AB49" s="905"/>
      <c r="AC49" s="905"/>
      <c r="AD49" s="902"/>
    </row>
    <row customHeight="1" ht="126">
      <c r="A50" s="901"/>
      <c r="B50" s="955">
        <v>33</v>
      </c>
      <c r="C50" s="899">
        <v>17</v>
      </c>
      <c r="D50" s="1023"/>
      <c r="E50" s="899"/>
      <c r="F50" s="899"/>
      <c r="G50" s="899"/>
      <c r="H50" s="947"/>
      <c r="I50" s="1061" t="str">
        <f>INDEX(TEMPLATE_NUMBER_POINT_FHD,B50,MATCH(TEMPLATE_SPHERE,TEMPLATE_SPHERE_LIST_FOR_NOTE,0))</f>
        <v>2.12</v>
      </c>
      <c r="J50" s="1061"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061"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900" t="str">
        <f>IF(I50=0,"",I50)</f>
        <v>2.12</v>
      </c>
      <c r="M50" s="900"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900"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013" t="s">
        <v>2260</v>
      </c>
      <c r="P50" s="1013" t="s">
        <v>2253</v>
      </c>
      <c r="Q50" s="1013" t="s">
        <v>2265</v>
      </c>
      <c r="R50" s="1013" t="s">
        <v>2253</v>
      </c>
      <c r="S50" s="1013"/>
      <c r="T50" s="899" t="s">
        <v>2266</v>
      </c>
      <c r="U50" s="899" t="s">
        <v>2267</v>
      </c>
      <c r="V50" s="899" t="s">
        <v>2268</v>
      </c>
      <c r="W50" s="899" t="s">
        <v>2269</v>
      </c>
      <c r="X50" s="899"/>
      <c r="Y50" s="1056"/>
      <c r="Z50" s="902" t="s">
        <v>2270</v>
      </c>
      <c r="AA50" s="905" t="s">
        <v>2271</v>
      </c>
      <c r="AB50" s="905" t="s">
        <v>2271</v>
      </c>
      <c r="AC50" s="905" t="s">
        <v>2271</v>
      </c>
      <c r="AD50" s="902"/>
    </row>
    <row customHeight="1" ht="27">
      <c r="A51" s="901"/>
      <c r="B51" s="955">
        <v>34</v>
      </c>
      <c r="C51" s="899" t="s">
        <v>2272</v>
      </c>
      <c r="D51" s="1023"/>
      <c r="E51" s="899"/>
      <c r="F51" s="899"/>
      <c r="G51" s="899"/>
      <c r="H51" s="947"/>
      <c r="I51" s="1061">
        <f>INDEX(TEMPLATE_NUMBER_POINT_FHD,B51,MATCH(TEMPLATE_SPHERE,TEMPLATE_SPHERE_LIST_FOR_NOTE,0))</f>
        <v>0</v>
      </c>
      <c r="J51" s="1061">
        <f>INDEX(TEMPLATE_DATA_POINT_FHD,B51,MATCH(TEMPLATE_SPHERE,TEMPLATE_SPHERE_LIST_FOR_NOTE,0))</f>
        <v>0</v>
      </c>
      <c r="K51" s="1061">
        <f>INDEX(TEMPLATE_NOTE_POINT_FHD,B51,MATCH(TEMPLATE_SPHERE,TEMPLATE_SPHERE_LIST_FOR_NOTE,0))</f>
        <v>0</v>
      </c>
      <c r="L51" s="900" t="str">
        <f>IF(I51=0,"",I51)</f>
        <v/>
      </c>
      <c r="M51" s="900" t="str">
        <f>IF(J51=0,"",J51)</f>
        <v/>
      </c>
      <c r="N51" s="900" t="str">
        <f>IF(K51=0,"",K51)</f>
        <v/>
      </c>
      <c r="O51" s="1013" t="s">
        <v>94</v>
      </c>
      <c r="P51" s="1013"/>
      <c r="Q51" s="1013"/>
      <c r="R51" s="1013"/>
      <c r="S51" s="1013"/>
      <c r="T51" s="899" t="s">
        <v>2273</v>
      </c>
      <c r="U51" s="899"/>
      <c r="V51" s="899"/>
      <c r="W51" s="899"/>
      <c r="X51" s="899"/>
      <c r="Y51" s="1056"/>
      <c r="Z51" s="902"/>
      <c r="AA51" s="905"/>
      <c r="AB51" s="905"/>
      <c r="AC51" s="905"/>
      <c r="AD51" s="902"/>
    </row>
    <row customHeight="1" ht="36">
      <c r="A52" s="901"/>
      <c r="B52" s="955">
        <v>35</v>
      </c>
      <c r="C52" s="899" t="s">
        <v>2166</v>
      </c>
      <c r="D52" s="1023" t="s">
        <v>2166</v>
      </c>
      <c r="E52" s="899" t="s">
        <v>2166</v>
      </c>
      <c r="F52" s="899" t="s">
        <v>2166</v>
      </c>
      <c r="G52" s="899"/>
      <c r="H52" s="947"/>
      <c r="I52" s="1061" t="str">
        <f>INDEX(TEMPLATE_NUMBER_POINT_FHD,B52,MATCH(TEMPLATE_SPHERE,TEMPLATE_SPHERE_LIST_FOR_NOTE,0))</f>
        <v>3</v>
      </c>
      <c r="J52" s="1061"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061" t="str">
        <f>INDEX(TEMPLATE_NOTE_POINT_FHD,B52,MATCH(TEMPLATE_SPHERE,TEMPLATE_SPHERE_LIST_FOR_NOTE,0))</f>
        <v>Указывается общая сумма чистой прибыли, полученной от регулируемого вида деятельности.</v>
      </c>
      <c r="L52" s="900" t="str">
        <f>IF(I52=0,"",I52)</f>
        <v>3</v>
      </c>
      <c r="M52" s="900" t="str">
        <f>IF(J52=0,"",J52)</f>
        <v>Чистая прибыль, полученная от регулируемого вида деятельности в сфере холодного водоснабжения, в том числе:</v>
      </c>
      <c r="N52" s="900" t="str">
        <f>IF(K52=0,"",K52)</f>
        <v>Указывается общая сумма чистой прибыли, полученной от регулируемого вида деятельности.</v>
      </c>
      <c r="O52" s="1013" t="s">
        <v>95</v>
      </c>
      <c r="P52" s="1013" t="s">
        <v>94</v>
      </c>
      <c r="Q52" s="1013" t="s">
        <v>94</v>
      </c>
      <c r="R52" s="1013" t="s">
        <v>94</v>
      </c>
      <c r="S52" s="1013"/>
      <c r="T52" s="899" t="s">
        <v>2274</v>
      </c>
      <c r="U52" s="899" t="s">
        <v>2275</v>
      </c>
      <c r="V52" s="899" t="s">
        <v>2276</v>
      </c>
      <c r="W52" s="899" t="s">
        <v>2277</v>
      </c>
      <c r="X52" s="899"/>
      <c r="Y52" s="1056"/>
      <c r="Z52" s="902" t="s">
        <v>882</v>
      </c>
      <c r="AA52" s="905" t="s">
        <v>882</v>
      </c>
      <c r="AB52" s="905" t="s">
        <v>882</v>
      </c>
      <c r="AC52" s="905" t="s">
        <v>882</v>
      </c>
      <c r="AD52" s="902"/>
    </row>
    <row customHeight="1" ht="36">
      <c r="A53" s="901"/>
      <c r="B53" s="955">
        <v>36</v>
      </c>
      <c r="C53" s="899">
        <v>1</v>
      </c>
      <c r="D53" s="1023"/>
      <c r="E53" s="899"/>
      <c r="F53" s="899"/>
      <c r="G53" s="899"/>
      <c r="H53" s="947"/>
      <c r="I53" s="1061" t="str">
        <f>INDEX(TEMPLATE_NUMBER_POINT_FHD,B53,MATCH(TEMPLATE_SPHERE,TEMPLATE_SPHERE_LIST_FOR_NOTE,0))</f>
        <v>3.1</v>
      </c>
      <c r="J53" s="1061"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61">
        <f>INDEX(TEMPLATE_NOTE_POINT_FHD,B53,MATCH(TEMPLATE_SPHERE,TEMPLATE_SPHERE_LIST_FOR_NOTE,0))</f>
        <v>0</v>
      </c>
      <c r="L53" s="900" t="str">
        <f>IF(I53=0,"",I53)</f>
        <v>3.1</v>
      </c>
      <c r="M53" s="900"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00" t="str">
        <f>IF(K53=0,"",K53)</f>
        <v/>
      </c>
      <c r="O53" s="1013" t="s">
        <v>886</v>
      </c>
      <c r="P53" s="1013" t="s">
        <v>456</v>
      </c>
      <c r="Q53" s="1013" t="s">
        <v>456</v>
      </c>
      <c r="R53" s="1013" t="s">
        <v>456</v>
      </c>
      <c r="S53" s="1013"/>
      <c r="T53" s="899" t="s">
        <v>2278</v>
      </c>
      <c r="U53" s="899" t="s">
        <v>2278</v>
      </c>
      <c r="V53" s="899" t="s">
        <v>2278</v>
      </c>
      <c r="W53" s="899" t="s">
        <v>2278</v>
      </c>
      <c r="X53" s="899"/>
      <c r="Y53" s="1056"/>
      <c r="Z53" s="902"/>
      <c r="AA53" s="905"/>
      <c r="AB53" s="902"/>
      <c r="AC53" s="902"/>
      <c r="AD53" s="902"/>
    </row>
    <row customHeight="1" ht="18">
      <c r="A54" s="901"/>
      <c r="B54" s="955">
        <v>37</v>
      </c>
      <c r="C54" s="899" t="s">
        <v>2172</v>
      </c>
      <c r="D54" s="1023" t="s">
        <v>2172</v>
      </c>
      <c r="E54" s="899" t="s">
        <v>2172</v>
      </c>
      <c r="F54" s="899" t="s">
        <v>2172</v>
      </c>
      <c r="G54" s="899"/>
      <c r="H54" s="947"/>
      <c r="I54" s="1061" t="str">
        <f>INDEX(TEMPLATE_NUMBER_POINT_FHD,B54,MATCH(TEMPLATE_SPHERE,TEMPLATE_SPHERE_LIST_FOR_NOTE,0))</f>
        <v>4</v>
      </c>
      <c r="J54" s="1061" t="str">
        <f>INDEX(TEMPLATE_DATA_POINT_FHD,B54,MATCH(TEMPLATE_SPHERE,TEMPLATE_SPHERE_LIST_FOR_NOTE,0))</f>
        <v>Изменение стоимости основных фондов, в том числе:</v>
      </c>
      <c r="K54" s="1061" t="str">
        <f>INDEX(TEMPLATE_NOTE_POINT_FHD,B54,MATCH(TEMPLATE_SPHERE,TEMPLATE_SPHERE_LIST_FOR_NOTE,0))</f>
        <v>Указывается общее изменение стоимости основных фондов.</v>
      </c>
      <c r="L54" s="900" t="str">
        <f>IF(I54=0,"",I54)</f>
        <v>4</v>
      </c>
      <c r="M54" s="900" t="str">
        <f>IF(J54=0,"",J54)</f>
        <v>Изменение стоимости основных фондов, в том числе:</v>
      </c>
      <c r="N54" s="900" t="str">
        <f>IF(K54=0,"",K54)</f>
        <v>Указывается общее изменение стоимости основных фондов.</v>
      </c>
      <c r="O54" s="1013" t="s">
        <v>122</v>
      </c>
      <c r="P54" s="1013" t="s">
        <v>95</v>
      </c>
      <c r="Q54" s="1013" t="s">
        <v>95</v>
      </c>
      <c r="R54" s="1013" t="s">
        <v>95</v>
      </c>
      <c r="S54" s="1013"/>
      <c r="T54" s="899" t="s">
        <v>884</v>
      </c>
      <c r="U54" s="899" t="s">
        <v>884</v>
      </c>
      <c r="V54" s="899" t="s">
        <v>884</v>
      </c>
      <c r="W54" s="899" t="s">
        <v>884</v>
      </c>
      <c r="X54" s="899"/>
      <c r="Y54" s="1056"/>
      <c r="Z54" s="902" t="s">
        <v>885</v>
      </c>
      <c r="AA54" s="902" t="s">
        <v>885</v>
      </c>
      <c r="AB54" s="902" t="s">
        <v>885</v>
      </c>
      <c r="AC54" s="902" t="s">
        <v>885</v>
      </c>
      <c r="AD54" s="902"/>
    </row>
    <row customHeight="1" ht="36">
      <c r="A55" s="901"/>
      <c r="B55" s="955">
        <v>38</v>
      </c>
      <c r="C55" s="899">
        <v>1</v>
      </c>
      <c r="D55" s="1023"/>
      <c r="E55" s="899"/>
      <c r="F55" s="899"/>
      <c r="G55" s="899"/>
      <c r="H55" s="947"/>
      <c r="I55" s="1061" t="str">
        <f>INDEX(TEMPLATE_NUMBER_POINT_FHD,B55,MATCH(TEMPLATE_SPHERE,TEMPLATE_SPHERE_LIST_FOR_NOTE,0))</f>
        <v>4.1</v>
      </c>
      <c r="J55" s="1061" t="str">
        <f>INDEX(TEMPLATE_DATA_POINT_FHD,B55,MATCH(TEMPLATE_SPHERE,TEMPLATE_SPHERE_LIST_FOR_NOTE,0))</f>
        <v>Изменение стоимости основных фондов за счет их ввода в эксплуатацию (вывода из эксплуатации)</v>
      </c>
      <c r="K55" s="1061"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00" t="str">
        <f>IF(I55=0,"",I55)</f>
        <v>4.1</v>
      </c>
      <c r="M55" s="900" t="str">
        <f>IF(J55=0,"",J55)</f>
        <v>Изменение стоимости основных фондов за счет их ввода в эксплуатацию (вывода из эксплуатации)</v>
      </c>
      <c r="N55" s="900" t="str">
        <f>IF(K55=0,"",K55)</f>
        <v>Указываются общее изменение стоимости основных фондов за счет их ввода в эксплуатацию и вывода из эксплуатации.</v>
      </c>
      <c r="O55" s="1013" t="s">
        <v>445</v>
      </c>
      <c r="P55" s="1013" t="s">
        <v>886</v>
      </c>
      <c r="Q55" s="1013" t="s">
        <v>886</v>
      </c>
      <c r="R55" s="1013" t="s">
        <v>886</v>
      </c>
      <c r="S55" s="1013"/>
      <c r="T55" s="90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99" t="s">
        <v>2279</v>
      </c>
      <c r="V55" s="899" t="s">
        <v>2279</v>
      </c>
      <c r="W55" s="899" t="s">
        <v>2279</v>
      </c>
      <c r="X55" s="899"/>
      <c r="Y55" s="1056"/>
      <c r="Z55" s="902" t="s">
        <v>2280</v>
      </c>
      <c r="AA55" s="902" t="s">
        <v>2280</v>
      </c>
      <c r="AB55" s="902" t="s">
        <v>2280</v>
      </c>
      <c r="AC55" s="902" t="s">
        <v>2280</v>
      </c>
      <c r="AD55" s="902"/>
    </row>
    <row customHeight="1" ht="27">
      <c r="A56" s="901"/>
      <c r="B56" s="955">
        <v>39</v>
      </c>
      <c r="C56" s="899" t="s">
        <v>1154</v>
      </c>
      <c r="D56" s="1023"/>
      <c r="E56" s="899"/>
      <c r="F56" s="899"/>
      <c r="G56" s="899"/>
      <c r="H56" s="947"/>
      <c r="I56" s="1061" t="str">
        <f>INDEX(TEMPLATE_NUMBER_POINT_FHD,B56,MATCH(TEMPLATE_SPHERE,TEMPLATE_SPHERE_LIST_FOR_NOTE,0))</f>
        <v>4.1.1</v>
      </c>
      <c r="J56" s="1061" t="str">
        <f>INDEX(TEMPLATE_DATA_POINT_FHD,B56,MATCH(TEMPLATE_SPHERE,TEMPLATE_SPHERE_LIST_FOR_NOTE,0))</f>
        <v>Изменение стоимости основных фондов за счет их ввода в эксплуатацию</v>
      </c>
      <c r="K56" s="1061" t="str">
        <f>INDEX(TEMPLATE_NOTE_POINT_FHD,B56,MATCH(TEMPLATE_SPHERE,TEMPLATE_SPHERE_LIST_FOR_NOTE,0))</f>
        <v>Указываются изменение стоимости основных фондов за счет их ввода в эксплуатацию.</v>
      </c>
      <c r="L56" s="900" t="str">
        <f>IF(I56=0,"",I56)</f>
        <v>4.1.1</v>
      </c>
      <c r="M56" s="900" t="str">
        <f>IF(J56=0,"",J56)</f>
        <v>Изменение стоимости основных фондов за счет их ввода в эксплуатацию</v>
      </c>
      <c r="N56" s="900" t="str">
        <f>IF(K56=0,"",K56)</f>
        <v>Указываются изменение стоимости основных фондов за счет их ввода в эксплуатацию.</v>
      </c>
      <c r="O56" s="1013" t="s">
        <v>1277</v>
      </c>
      <c r="P56" s="1013" t="s">
        <v>889</v>
      </c>
      <c r="Q56" s="1013" t="s">
        <v>889</v>
      </c>
      <c r="R56" s="1013" t="s">
        <v>889</v>
      </c>
      <c r="S56" s="1013"/>
      <c r="T56" s="90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99" t="s">
        <v>2281</v>
      </c>
      <c r="V56" s="899" t="s">
        <v>2281</v>
      </c>
      <c r="W56" s="899" t="s">
        <v>2281</v>
      </c>
      <c r="X56" s="899"/>
      <c r="Y56" s="1056"/>
      <c r="Z56" s="902" t="s">
        <v>891</v>
      </c>
      <c r="AA56" s="902" t="s">
        <v>891</v>
      </c>
      <c r="AB56" s="902" t="s">
        <v>891</v>
      </c>
      <c r="AC56" s="902" t="s">
        <v>891</v>
      </c>
      <c r="AD56" s="902"/>
    </row>
    <row customHeight="1" ht="27">
      <c r="A57" s="901"/>
      <c r="B57" s="955">
        <v>40</v>
      </c>
      <c r="C57" s="899" t="s">
        <v>1156</v>
      </c>
      <c r="D57" s="1023"/>
      <c r="E57" s="899"/>
      <c r="F57" s="899"/>
      <c r="G57" s="899"/>
      <c r="H57" s="947"/>
      <c r="I57" s="1061" t="str">
        <f>INDEX(TEMPLATE_NUMBER_POINT_FHD,B57,MATCH(TEMPLATE_SPHERE,TEMPLATE_SPHERE_LIST_FOR_NOTE,0))</f>
        <v>4.1.2</v>
      </c>
      <c r="J57" s="1061" t="str">
        <f>INDEX(TEMPLATE_DATA_POINT_FHD,B57,MATCH(TEMPLATE_SPHERE,TEMPLATE_SPHERE_LIST_FOR_NOTE,0))</f>
        <v>Изменение стоимости основных фондов за счет их вывода в эксплуатацию</v>
      </c>
      <c r="K57" s="1061" t="str">
        <f>INDEX(TEMPLATE_NOTE_POINT_FHD,B57,MATCH(TEMPLATE_SPHERE,TEMPLATE_SPHERE_LIST_FOR_NOTE,0))</f>
        <v>Указываются изменение стоимости основных фондов за счет их вывода из эксплуатации.</v>
      </c>
      <c r="L57" s="900" t="str">
        <f>IF(I57=0,"",I57)</f>
        <v>4.1.2</v>
      </c>
      <c r="M57" s="900" t="str">
        <f>IF(J57=0,"",J57)</f>
        <v>Изменение стоимости основных фондов за счет их вывода в эксплуатацию</v>
      </c>
      <c r="N57" s="900" t="str">
        <f>IF(K57=0,"",K57)</f>
        <v>Указываются изменение стоимости основных фондов за счет их вывода из эксплуатации.</v>
      </c>
      <c r="O57" s="1013" t="s">
        <v>2282</v>
      </c>
      <c r="P57" s="1013" t="s">
        <v>892</v>
      </c>
      <c r="Q57" s="1013" t="s">
        <v>892</v>
      </c>
      <c r="R57" s="1013" t="s">
        <v>892</v>
      </c>
      <c r="S57" s="1013"/>
      <c r="T57" s="90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99" t="s">
        <v>2283</v>
      </c>
      <c r="V57" s="899" t="s">
        <v>2283</v>
      </c>
      <c r="W57" s="899" t="s">
        <v>2283</v>
      </c>
      <c r="X57" s="899"/>
      <c r="Y57" s="1056"/>
      <c r="Z57" s="902" t="s">
        <v>894</v>
      </c>
      <c r="AA57" s="902" t="s">
        <v>894</v>
      </c>
      <c r="AB57" s="902" t="s">
        <v>894</v>
      </c>
      <c r="AC57" s="902" t="s">
        <v>894</v>
      </c>
      <c r="AD57" s="902"/>
    </row>
    <row customHeight="1" ht="18">
      <c r="A58" s="901"/>
      <c r="B58" s="955">
        <v>41</v>
      </c>
      <c r="C58" s="899">
        <v>2</v>
      </c>
      <c r="D58" s="1023"/>
      <c r="E58" s="899"/>
      <c r="F58" s="899"/>
      <c r="G58" s="899"/>
      <c r="H58" s="947"/>
      <c r="I58" s="1061" t="str">
        <f>INDEX(TEMPLATE_NUMBER_POINT_FHD,B58,MATCH(TEMPLATE_SPHERE,TEMPLATE_SPHERE_LIST_FOR_NOTE,0))</f>
        <v>4.2</v>
      </c>
      <c r="J58" s="1061" t="str">
        <f>INDEX(TEMPLATE_DATA_POINT_FHD,B58,MATCH(TEMPLATE_SPHERE,TEMPLATE_SPHERE_LIST_FOR_NOTE,0))</f>
        <v>Изменение стоимости основных фондов за счет их переоценки</v>
      </c>
      <c r="K58" s="1061">
        <f>INDEX(TEMPLATE_NOTE_POINT_FHD,B58,MATCH(TEMPLATE_SPHERE,TEMPLATE_SPHERE_LIST_FOR_NOTE,0))</f>
        <v>0</v>
      </c>
      <c r="L58" s="900" t="str">
        <f>IF(I58=0,"",I58)</f>
        <v>4.2</v>
      </c>
      <c r="M58" s="900" t="str">
        <f>IF(J58=0,"",J58)</f>
        <v>Изменение стоимости основных фондов за счет их переоценки</v>
      </c>
      <c r="N58" s="900" t="str">
        <f>IF(K58=0,"",K58)</f>
        <v/>
      </c>
      <c r="O58" s="1013" t="s">
        <v>1014</v>
      </c>
      <c r="P58" s="1013" t="s">
        <v>928</v>
      </c>
      <c r="Q58" s="1013" t="s">
        <v>928</v>
      </c>
      <c r="R58" s="1013" t="s">
        <v>928</v>
      </c>
      <c r="S58" s="1013"/>
      <c r="T58" s="900" t="str">
        <f>IF(TITLE_TYPE_ORG="Регулируемая организация","Изменение стоимости основных фондов за счет их переоценки","за счет их переоценки")</f>
        <v>за счет их переоценки</v>
      </c>
      <c r="U58" s="899" t="s">
        <v>2284</v>
      </c>
      <c r="V58" s="899" t="s">
        <v>2284</v>
      </c>
      <c r="W58" s="899" t="s">
        <v>2284</v>
      </c>
      <c r="X58" s="899"/>
      <c r="Y58" s="1056"/>
      <c r="Z58" s="902"/>
      <c r="AA58" s="905"/>
      <c r="AB58" s="902"/>
      <c r="AC58" s="902"/>
      <c r="AD58" s="902"/>
    </row>
    <row customHeight="1" ht="36">
      <c r="A59" s="901"/>
      <c r="B59" s="955">
        <v>42</v>
      </c>
      <c r="C59" s="899">
        <v>3</v>
      </c>
      <c r="D59" s="1023" t="s">
        <v>2272</v>
      </c>
      <c r="E59" s="899" t="s">
        <v>2272</v>
      </c>
      <c r="F59" s="899" t="s">
        <v>2272</v>
      </c>
      <c r="G59" s="899"/>
      <c r="H59" s="947"/>
      <c r="I59" s="1061" t="str">
        <f>INDEX(TEMPLATE_NUMBER_POINT_FHD,B59,MATCH(TEMPLATE_SPHERE,TEMPLATE_SPHERE_LIST_FOR_NOTE,0))</f>
        <v>5</v>
      </c>
      <c r="J59" s="1061"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061">
        <f>INDEX(TEMPLATE_NOTE_POINT_FHD,B59,MATCH(TEMPLATE_SPHERE,TEMPLATE_SPHERE_LIST_FOR_NOTE,0))</f>
        <v>0</v>
      </c>
      <c r="L59" s="900" t="str">
        <f>IF(I59=0,"",I59)</f>
        <v>5</v>
      </c>
      <c r="M59" s="900" t="str">
        <f>IF(J59=0,"",J59)</f>
        <v>Валовая прибыль (убытки) от продажи товаров и услуг по регулируемым видам деятельности в сфере холодного водоснабжения</v>
      </c>
      <c r="N59" s="900" t="str">
        <f>IF(K59=0,"",K59)</f>
        <v/>
      </c>
      <c r="O59" s="1013"/>
      <c r="P59" s="1013" t="s">
        <v>122</v>
      </c>
      <c r="Q59" s="1013" t="s">
        <v>122</v>
      </c>
      <c r="R59" s="1013" t="s">
        <v>122</v>
      </c>
      <c r="S59" s="1013"/>
      <c r="T59" s="899"/>
      <c r="U59" s="899" t="s">
        <v>2285</v>
      </c>
      <c r="V59" s="899" t="s">
        <v>2286</v>
      </c>
      <c r="W59" s="899" t="s">
        <v>2287</v>
      </c>
      <c r="X59" s="899"/>
      <c r="Y59" s="1056"/>
      <c r="Z59" s="902"/>
      <c r="AA59" s="905"/>
      <c r="AB59" s="902"/>
      <c r="AC59" s="902"/>
      <c r="AD59" s="902"/>
    </row>
    <row customHeight="1" ht="81">
      <c r="A60" s="901"/>
      <c r="B60" s="955">
        <v>43</v>
      </c>
      <c r="C60" s="899" t="s">
        <v>2288</v>
      </c>
      <c r="D60" s="1023" t="s">
        <v>2288</v>
      </c>
      <c r="E60" s="899" t="s">
        <v>2288</v>
      </c>
      <c r="F60" s="899" t="s">
        <v>2288</v>
      </c>
      <c r="G60" s="899"/>
      <c r="H60" s="947"/>
      <c r="I60" s="1061" t="str">
        <f>INDEX(TEMPLATE_NUMBER_POINT_FHD,B60,MATCH(TEMPLATE_SPHERE,TEMPLATE_SPHERE_LIST_FOR_NOTE,0))</f>
        <v>6</v>
      </c>
      <c r="J60" s="1061" t="str">
        <f>INDEX(TEMPLATE_DATA_POINT_FHD,B60,MATCH(TEMPLATE_SPHERE,TEMPLATE_SPHERE_LIST_FOR_NOTE,0))</f>
        <v>Годовая бухгалтерская (финансовая) отчетность, включая бухгалтерский баланс и приложения к нему</v>
      </c>
      <c r="K60" s="1061"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900" t="str">
        <f>IF(I60=0,"",I60)</f>
        <v>6</v>
      </c>
      <c r="M60" s="900" t="str">
        <f>IF(J60=0,"",J60)</f>
        <v>Годовая бухгалтерская (финансовая) отчетность, включая бухгалтерский баланс и приложения к нему</v>
      </c>
      <c r="N60" s="900"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013" t="s">
        <v>96</v>
      </c>
      <c r="P60" s="1013" t="s">
        <v>96</v>
      </c>
      <c r="Q60" s="1013" t="s">
        <v>96</v>
      </c>
      <c r="R60" s="1013" t="s">
        <v>96</v>
      </c>
      <c r="S60" s="1013"/>
      <c r="T60" s="899" t="s">
        <v>762</v>
      </c>
      <c r="U60" s="899" t="s">
        <v>762</v>
      </c>
      <c r="V60" s="899" t="s">
        <v>762</v>
      </c>
      <c r="W60" s="899" t="s">
        <v>762</v>
      </c>
      <c r="X60" s="899"/>
      <c r="Y60" s="1056"/>
      <c r="Z60" s="902" t="s">
        <v>2289</v>
      </c>
      <c r="AA60" s="905" t="s">
        <v>2290</v>
      </c>
      <c r="AB60" s="902" t="s">
        <v>2291</v>
      </c>
      <c r="AC60" s="902" t="s">
        <v>2290</v>
      </c>
      <c r="AD60" s="902"/>
    </row>
    <row customHeight="1" ht="9">
      <c r="A61" s="901"/>
      <c r="B61" s="955">
        <v>44</v>
      </c>
      <c r="C61" s="899"/>
      <c r="D61" s="1023" t="s">
        <v>2292</v>
      </c>
      <c r="E61" s="899"/>
      <c r="F61" s="899"/>
      <c r="G61" s="899"/>
      <c r="H61" s="947"/>
      <c r="I61" s="1061" t="str">
        <f>INDEX(TEMPLATE_NUMBER_POINT_FHD,B61,MATCH(TEMPLATE_SPHERE,TEMPLATE_SPHERE_LIST_FOR_NOTE,0))</f>
        <v>7</v>
      </c>
      <c r="J61" s="1061" t="str">
        <f>INDEX(TEMPLATE_DATA_POINT_FHD,B61,MATCH(TEMPLATE_SPHERE,TEMPLATE_SPHERE_LIST_FOR_NOTE,0))</f>
        <v>Объём поднятой воды</v>
      </c>
      <c r="K61" s="1061">
        <f>INDEX(TEMPLATE_NOTE_POINT_FHD,B61,MATCH(TEMPLATE_SPHERE,TEMPLATE_SPHERE_LIST_FOR_NOTE,0))</f>
        <v>0</v>
      </c>
      <c r="L61" s="900" t="str">
        <f>IF(I61=0,"",I61)</f>
        <v>7</v>
      </c>
      <c r="M61" s="900" t="str">
        <f>IF(J61=0,"",J61)</f>
        <v>Объём поднятой воды</v>
      </c>
      <c r="N61" s="900" t="str">
        <f>IF(K61=0,"",K61)</f>
        <v/>
      </c>
      <c r="O61" s="1013"/>
      <c r="P61" s="1013" t="s">
        <v>97</v>
      </c>
      <c r="Q61" s="1013"/>
      <c r="R61" s="1013"/>
      <c r="S61" s="1013"/>
      <c r="T61" s="899"/>
      <c r="U61" s="899" t="s">
        <v>2293</v>
      </c>
      <c r="V61" s="899"/>
      <c r="W61" s="899"/>
      <c r="X61" s="899"/>
      <c r="Y61" s="1056"/>
      <c r="Z61" s="902"/>
      <c r="AA61" s="905"/>
      <c r="AB61" s="902"/>
      <c r="AC61" s="902"/>
      <c r="AD61" s="902"/>
    </row>
    <row customHeight="1" ht="9">
      <c r="A62" s="901"/>
      <c r="B62" s="955">
        <v>45</v>
      </c>
      <c r="C62" s="899"/>
      <c r="D62" s="1023" t="s">
        <v>2294</v>
      </c>
      <c r="E62" s="899"/>
      <c r="F62" s="899"/>
      <c r="G62" s="899"/>
      <c r="H62" s="947"/>
      <c r="I62" s="1061" t="str">
        <f>INDEX(TEMPLATE_NUMBER_POINT_FHD,B62,MATCH(TEMPLATE_SPHERE,TEMPLATE_SPHERE_LIST_FOR_NOTE,0))</f>
        <v>8</v>
      </c>
      <c r="J62" s="1061" t="str">
        <f>INDEX(TEMPLATE_DATA_POINT_FHD,B62,MATCH(TEMPLATE_SPHERE,TEMPLATE_SPHERE_LIST_FOR_NOTE,0))</f>
        <v>Объём покупной воды</v>
      </c>
      <c r="K62" s="1061">
        <f>INDEX(TEMPLATE_NOTE_POINT_FHD,B62,MATCH(TEMPLATE_SPHERE,TEMPLATE_SPHERE_LIST_FOR_NOTE,0))</f>
        <v>0</v>
      </c>
      <c r="L62" s="900" t="str">
        <f>IF(I62=0,"",I62)</f>
        <v>8</v>
      </c>
      <c r="M62" s="900" t="str">
        <f>IF(J62=0,"",J62)</f>
        <v>Объём покупной воды</v>
      </c>
      <c r="N62" s="900" t="str">
        <f>IF(K62=0,"",K62)</f>
        <v/>
      </c>
      <c r="O62" s="1013"/>
      <c r="P62" s="1013" t="s">
        <v>135</v>
      </c>
      <c r="Q62" s="1013"/>
      <c r="R62" s="1013"/>
      <c r="S62" s="1013"/>
      <c r="T62" s="899"/>
      <c r="U62" s="899" t="s">
        <v>2295</v>
      </c>
      <c r="V62" s="899"/>
      <c r="W62" s="899"/>
      <c r="X62" s="899"/>
      <c r="Y62" s="1056"/>
      <c r="Z62" s="902"/>
      <c r="AA62" s="905"/>
      <c r="AB62" s="902"/>
      <c r="AC62" s="902"/>
      <c r="AD62" s="902"/>
    </row>
    <row customHeight="1" ht="18">
      <c r="A63" s="901"/>
      <c r="B63" s="955">
        <v>46</v>
      </c>
      <c r="C63" s="899"/>
      <c r="D63" s="1023" t="s">
        <v>2296</v>
      </c>
      <c r="E63" s="899"/>
      <c r="F63" s="899"/>
      <c r="G63" s="899"/>
      <c r="H63" s="947"/>
      <c r="I63" s="1061" t="str">
        <f>INDEX(TEMPLATE_NUMBER_POINT_FHD,B63,MATCH(TEMPLATE_SPHERE,TEMPLATE_SPHERE_LIST_FOR_NOTE,0))</f>
        <v>9</v>
      </c>
      <c r="J63" s="1061" t="str">
        <f>INDEX(TEMPLATE_DATA_POINT_FHD,B63,MATCH(TEMPLATE_SPHERE,TEMPLATE_SPHERE_LIST_FOR_NOTE,0))</f>
        <v>Объём воды, пропущенной через очистные сооружения</v>
      </c>
      <c r="K63" s="1061">
        <f>INDEX(TEMPLATE_NOTE_POINT_FHD,B63,MATCH(TEMPLATE_SPHERE,TEMPLATE_SPHERE_LIST_FOR_NOTE,0))</f>
        <v>0</v>
      </c>
      <c r="L63" s="900" t="str">
        <f>IF(I63=0,"",I63)</f>
        <v>9</v>
      </c>
      <c r="M63" s="900" t="str">
        <f>IF(J63=0,"",J63)</f>
        <v>Объём воды, пропущенной через очистные сооружения</v>
      </c>
      <c r="N63" s="900" t="str">
        <f>IF(K63=0,"",K63)</f>
        <v/>
      </c>
      <c r="O63" s="1013"/>
      <c r="P63" s="1013" t="s">
        <v>140</v>
      </c>
      <c r="Q63" s="1013"/>
      <c r="R63" s="1013"/>
      <c r="S63" s="1013"/>
      <c r="T63" s="899"/>
      <c r="U63" s="899" t="s">
        <v>2297</v>
      </c>
      <c r="V63" s="899"/>
      <c r="W63" s="899"/>
      <c r="X63" s="899"/>
      <c r="Y63" s="1056"/>
      <c r="Z63" s="902"/>
      <c r="AA63" s="905"/>
      <c r="AB63" s="902"/>
      <c r="AC63" s="902"/>
      <c r="AD63" s="902"/>
    </row>
    <row customHeight="1" ht="18">
      <c r="A64" s="901"/>
      <c r="B64" s="955">
        <v>47</v>
      </c>
      <c r="C64" s="899"/>
      <c r="D64" s="1023" t="s">
        <v>2298</v>
      </c>
      <c r="E64" s="899"/>
      <c r="F64" s="899"/>
      <c r="G64" s="899"/>
      <c r="H64" s="947"/>
      <c r="I64" s="1061" t="str">
        <f>INDEX(TEMPLATE_NUMBER_POINT_FHD,B64,MATCH(TEMPLATE_SPHERE,TEMPLATE_SPHERE_LIST_FOR_NOTE,0))</f>
        <v>10</v>
      </c>
      <c r="J64" s="1061" t="str">
        <f>INDEX(TEMPLATE_DATA_POINT_FHD,B64,MATCH(TEMPLATE_SPHERE,TEMPLATE_SPHERE_LIST_FOR_NOTE,0))</f>
        <v>Объём отпущенной потребителям воды, в том числе:</v>
      </c>
      <c r="K64" s="1061" t="str">
        <f>INDEX(TEMPLATE_NOTE_POINT_FHD,B64,MATCH(TEMPLATE_SPHERE,TEMPLATE_SPHERE_LIST_FOR_NOTE,0))</f>
        <v>Указывается общий объем отпущенной потребителям воды.</v>
      </c>
      <c r="L64" s="900" t="str">
        <f>IF(I64=0,"",I64)</f>
        <v>10</v>
      </c>
      <c r="M64" s="900" t="str">
        <f>IF(J64=0,"",J64)</f>
        <v>Объём отпущенной потребителям воды, в том числе:</v>
      </c>
      <c r="N64" s="900" t="str">
        <f>IF(K64=0,"",K64)</f>
        <v>Указывается общий объем отпущенной потребителям воды.</v>
      </c>
      <c r="O64" s="1013"/>
      <c r="P64" s="1013" t="s">
        <v>145</v>
      </c>
      <c r="Q64" s="1013"/>
      <c r="R64" s="1013"/>
      <c r="S64" s="1013"/>
      <c r="T64" s="899"/>
      <c r="U64" s="899" t="s">
        <v>2299</v>
      </c>
      <c r="V64" s="899"/>
      <c r="W64" s="899"/>
      <c r="X64" s="899"/>
      <c r="Y64" s="1056"/>
      <c r="Z64" s="902"/>
      <c r="AA64" s="905" t="s">
        <v>2300</v>
      </c>
      <c r="AB64" s="902"/>
      <c r="AC64" s="902"/>
      <c r="AD64" s="902"/>
    </row>
    <row customHeight="1" ht="18">
      <c r="A65" s="901"/>
      <c r="B65" s="955">
        <v>48</v>
      </c>
      <c r="C65" s="899"/>
      <c r="D65" s="1023"/>
      <c r="E65" s="899"/>
      <c r="F65" s="899"/>
      <c r="G65" s="899"/>
      <c r="H65" s="947"/>
      <c r="I65" s="1061" t="str">
        <f>INDEX(TEMPLATE_NUMBER_POINT_FHD,B65,MATCH(TEMPLATE_SPHERE,TEMPLATE_SPHERE_LIST_FOR_NOTE,0))</f>
        <v>10.1</v>
      </c>
      <c r="J65" s="1061" t="str">
        <f>INDEX(TEMPLATE_DATA_POINT_FHD,B65,MATCH(TEMPLATE_SPHERE,TEMPLATE_SPHERE_LIST_FOR_NOTE,0))</f>
        <v>Объём отпущенной потребителям воды, определенный по приборам учета</v>
      </c>
      <c r="K65" s="1061">
        <f>INDEX(TEMPLATE_NOTE_POINT_FHD,B65,MATCH(TEMPLATE_SPHERE,TEMPLATE_SPHERE_LIST_FOR_NOTE,0))</f>
        <v>0</v>
      </c>
      <c r="L65" s="900" t="str">
        <f>IF(I65=0,"",I65)</f>
        <v>10.1</v>
      </c>
      <c r="M65" s="900" t="str">
        <f>IF(J65=0,"",J65)</f>
        <v>Объём отпущенной потребителям воды, определенный по приборам учета</v>
      </c>
      <c r="N65" s="900" t="str">
        <f>IF(K65=0,"",K65)</f>
        <v/>
      </c>
      <c r="O65" s="1013"/>
      <c r="P65" s="1013" t="s">
        <v>2213</v>
      </c>
      <c r="Q65" s="1013"/>
      <c r="R65" s="1013"/>
      <c r="S65" s="1013"/>
      <c r="T65" s="899"/>
      <c r="U65" s="899" t="s">
        <v>2301</v>
      </c>
      <c r="V65" s="899"/>
      <c r="W65" s="899"/>
      <c r="X65" s="899"/>
      <c r="Y65" s="1056"/>
      <c r="Z65" s="902"/>
      <c r="AA65" s="905"/>
      <c r="AB65" s="902"/>
      <c r="AC65" s="902"/>
      <c r="AD65" s="902"/>
    </row>
    <row customHeight="1" ht="18">
      <c r="A66" s="901"/>
      <c r="B66" s="955">
        <v>49</v>
      </c>
      <c r="C66" s="899"/>
      <c r="D66" s="1023"/>
      <c r="E66" s="899"/>
      <c r="F66" s="899"/>
      <c r="G66" s="899"/>
      <c r="H66" s="947"/>
      <c r="I66" s="1061" t="str">
        <f>INDEX(TEMPLATE_NUMBER_POINT_FHD,B66,MATCH(TEMPLATE_SPHERE,TEMPLATE_SPHERE_LIST_FOR_NOTE,0))</f>
        <v>10.2</v>
      </c>
      <c r="J66" s="1061" t="str">
        <f>INDEX(TEMPLATE_DATA_POINT_FHD,B66,MATCH(TEMPLATE_SPHERE,TEMPLATE_SPHERE_LIST_FOR_NOTE,0))</f>
        <v>Объём отпущенной потребителям воды, определенный расчетным способом</v>
      </c>
      <c r="K66" s="1061">
        <f>INDEX(TEMPLATE_NOTE_POINT_FHD,B66,MATCH(TEMPLATE_SPHERE,TEMPLATE_SPHERE_LIST_FOR_NOTE,0))</f>
        <v>0</v>
      </c>
      <c r="L66" s="900" t="str">
        <f>IF(I66=0,"",I66)</f>
        <v>10.2</v>
      </c>
      <c r="M66" s="900" t="str">
        <f>IF(J66=0,"",J66)</f>
        <v>Объём отпущенной потребителям воды, определенный расчетным способом</v>
      </c>
      <c r="N66" s="900" t="str">
        <f>IF(K66=0,"",K66)</f>
        <v/>
      </c>
      <c r="O66" s="1013"/>
      <c r="P66" s="1013" t="s">
        <v>2217</v>
      </c>
      <c r="Q66" s="1013"/>
      <c r="R66" s="1013"/>
      <c r="S66" s="1013"/>
      <c r="T66" s="899"/>
      <c r="U66" s="899" t="s">
        <v>2302</v>
      </c>
      <c r="V66" s="899"/>
      <c r="W66" s="899"/>
      <c r="X66" s="899"/>
      <c r="Y66" s="1056"/>
      <c r="Z66" s="902"/>
      <c r="AA66" s="905"/>
      <c r="AB66" s="902"/>
      <c r="AC66" s="902"/>
      <c r="AD66" s="902"/>
    </row>
    <row customHeight="1" ht="27">
      <c r="A67" s="901"/>
      <c r="B67" s="955">
        <v>50</v>
      </c>
      <c r="C67" s="899"/>
      <c r="D67" s="1023"/>
      <c r="E67" s="899"/>
      <c r="F67" s="899"/>
      <c r="G67" s="899"/>
      <c r="H67" s="947"/>
      <c r="I67" s="1061" t="str">
        <f>INDEX(TEMPLATE_NUMBER_POINT_FHD,B67,MATCH(TEMPLATE_SPHERE,TEMPLATE_SPHERE_LIST_FOR_NOTE,0))</f>
        <v>10.2.1</v>
      </c>
      <c r="J67" s="1061" t="str">
        <f>INDEX(TEMPLATE_DATA_POINT_FHD,B67,MATCH(TEMPLATE_SPHERE,TEMPLATE_SPHERE_LIST_FOR_NOTE,0))</f>
        <v>Объём отпущенной потребителям воды, определенный по нормативам потребления коммунальных услуг</v>
      </c>
      <c r="K67" s="1061">
        <f>INDEX(TEMPLATE_NOTE_POINT_FHD,B67,MATCH(TEMPLATE_SPHERE,TEMPLATE_SPHERE_LIST_FOR_NOTE,0))</f>
        <v>0</v>
      </c>
      <c r="L67" s="900" t="str">
        <f>IF(I67=0,"",I67)</f>
        <v>10.2.1</v>
      </c>
      <c r="M67" s="900" t="str">
        <f>IF(J67=0,"",J67)</f>
        <v>Объём отпущенной потребителям воды, определенный по нормативам потребления коммунальных услуг</v>
      </c>
      <c r="N67" s="900" t="str">
        <f>IF(K67=0,"",K67)</f>
        <v/>
      </c>
      <c r="O67" s="1013"/>
      <c r="P67" s="1013" t="s">
        <v>2303</v>
      </c>
      <c r="Q67" s="1013"/>
      <c r="R67" s="1013"/>
      <c r="S67" s="1013"/>
      <c r="T67" s="899"/>
      <c r="U67" s="899" t="s">
        <v>2304</v>
      </c>
      <c r="V67" s="899"/>
      <c r="W67" s="899"/>
      <c r="X67" s="899"/>
      <c r="Y67" s="1056"/>
      <c r="Z67" s="902"/>
      <c r="AA67" s="905"/>
      <c r="AB67" s="902"/>
      <c r="AC67" s="902"/>
      <c r="AD67" s="902"/>
    </row>
    <row customHeight="1" ht="27">
      <c r="A68" s="901"/>
      <c r="B68" s="955">
        <v>51</v>
      </c>
      <c r="C68" s="899"/>
      <c r="D68" s="1023"/>
      <c r="E68" s="899"/>
      <c r="F68" s="899"/>
      <c r="G68" s="899"/>
      <c r="H68" s="947"/>
      <c r="I68" s="1061" t="str">
        <f>INDEX(TEMPLATE_NUMBER_POINT_FHD,B68,MATCH(TEMPLATE_SPHERE,TEMPLATE_SPHERE_LIST_FOR_NOTE,0))</f>
        <v>10.2.2</v>
      </c>
      <c r="J68" s="1061"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061">
        <f>INDEX(TEMPLATE_NOTE_POINT_FHD,B68,MATCH(TEMPLATE_SPHERE,TEMPLATE_SPHERE_LIST_FOR_NOTE,0))</f>
        <v>0</v>
      </c>
      <c r="L68" s="900" t="str">
        <f>IF(I68=0,"",I68)</f>
        <v>10.2.2</v>
      </c>
      <c r="M68" s="900" t="str">
        <f>IF(J68=0,"",J68)</f>
        <v>Объём отпущенной потребителям воды, определенный по нормативам потребления коммунальных ресурсов </v>
      </c>
      <c r="N68" s="900" t="str">
        <f>IF(K68=0,"",K68)</f>
        <v/>
      </c>
      <c r="O68" s="1013"/>
      <c r="P68" s="1013" t="s">
        <v>2305</v>
      </c>
      <c r="Q68" s="1013"/>
      <c r="R68" s="1013"/>
      <c r="S68" s="1013"/>
      <c r="T68" s="899"/>
      <c r="U68" s="899" t="s">
        <v>2306</v>
      </c>
      <c r="V68" s="899"/>
      <c r="W68" s="899"/>
      <c r="X68" s="899"/>
      <c r="Y68" s="1056"/>
      <c r="Z68" s="902"/>
      <c r="AA68" s="905"/>
      <c r="AB68" s="902"/>
      <c r="AC68" s="902"/>
      <c r="AD68" s="902"/>
    </row>
    <row customHeight="1" ht="9">
      <c r="A69" s="901"/>
      <c r="B69" s="955">
        <v>52</v>
      </c>
      <c r="C69" s="899"/>
      <c r="D69" s="1023" t="s">
        <v>2307</v>
      </c>
      <c r="E69" s="899"/>
      <c r="F69" s="899"/>
      <c r="G69" s="899"/>
      <c r="H69" s="947"/>
      <c r="I69" s="1061" t="str">
        <f>INDEX(TEMPLATE_NUMBER_POINT_FHD,B69,MATCH(TEMPLATE_SPHERE,TEMPLATE_SPHERE_LIST_FOR_NOTE,0))</f>
        <v>11</v>
      </c>
      <c r="J69" s="1061" t="str">
        <f>INDEX(TEMPLATE_DATA_POINT_FHD,B69,MATCH(TEMPLATE_SPHERE,TEMPLATE_SPHERE_LIST_FOR_NOTE,0))</f>
        <v>Потери воды в сетях</v>
      </c>
      <c r="K69" s="1061">
        <f>INDEX(TEMPLATE_NOTE_POINT_FHD,B69,MATCH(TEMPLATE_SPHERE,TEMPLATE_SPHERE_LIST_FOR_NOTE,0))</f>
        <v>0</v>
      </c>
      <c r="L69" s="900" t="str">
        <f>IF(I69=0,"",I69)</f>
        <v>11</v>
      </c>
      <c r="M69" s="900" t="str">
        <f>IF(J69=0,"",J69)</f>
        <v>Потери воды в сетях</v>
      </c>
      <c r="N69" s="900" t="str">
        <f>IF(K69=0,"",K69)</f>
        <v/>
      </c>
      <c r="O69" s="1013"/>
      <c r="P69" s="1013" t="s">
        <v>150</v>
      </c>
      <c r="Q69" s="1013"/>
      <c r="R69" s="1013"/>
      <c r="S69" s="1013"/>
      <c r="T69" s="899"/>
      <c r="U69" s="899" t="s">
        <v>2308</v>
      </c>
      <c r="V69" s="899"/>
      <c r="W69" s="899"/>
      <c r="X69" s="899"/>
      <c r="Y69" s="1056"/>
      <c r="Z69" s="902"/>
      <c r="AA69" s="905"/>
      <c r="AB69" s="902"/>
      <c r="AC69" s="902"/>
      <c r="AD69" s="902"/>
    </row>
    <row customHeight="1" ht="27">
      <c r="A70" s="901"/>
      <c r="B70" s="955">
        <v>53</v>
      </c>
      <c r="C70" s="899"/>
      <c r="D70" s="1023"/>
      <c r="E70" s="899" t="s">
        <v>2292</v>
      </c>
      <c r="F70" s="899"/>
      <c r="G70" s="899"/>
      <c r="H70" s="947"/>
      <c r="I70" s="1061">
        <f>INDEX(TEMPLATE_NUMBER_POINT_FHD,B70,MATCH(TEMPLATE_SPHERE,TEMPLATE_SPHERE_LIST_FOR_NOTE,0))</f>
        <v>0</v>
      </c>
      <c r="J70" s="1061">
        <f>INDEX(TEMPLATE_DATA_POINT_FHD,B70,MATCH(TEMPLATE_SPHERE,TEMPLATE_SPHERE_LIST_FOR_NOTE,0))</f>
        <v>0</v>
      </c>
      <c r="K70" s="1061">
        <f>INDEX(TEMPLATE_NOTE_POINT_FHD,B70,MATCH(TEMPLATE_SPHERE,TEMPLATE_SPHERE_LIST_FOR_NOTE,0))</f>
        <v>0</v>
      </c>
      <c r="L70" s="900" t="str">
        <f>IF(I70=0,"",I70)</f>
        <v/>
      </c>
      <c r="M70" s="900" t="str">
        <f>IF(J70=0,"",J70)</f>
        <v/>
      </c>
      <c r="N70" s="900" t="str">
        <f>IF(K70=0,"",K70)</f>
        <v/>
      </c>
      <c r="O70" s="1013"/>
      <c r="P70" s="1013"/>
      <c r="Q70" s="1013" t="s">
        <v>97</v>
      </c>
      <c r="R70" s="1013"/>
      <c r="S70" s="1013"/>
      <c r="T70" s="899"/>
      <c r="U70" s="899"/>
      <c r="V70" s="899" t="s">
        <v>2309</v>
      </c>
      <c r="W70" s="899"/>
      <c r="X70" s="899"/>
      <c r="Y70" s="1056"/>
      <c r="Z70" s="902"/>
      <c r="AA70" s="905"/>
      <c r="AB70" s="902"/>
      <c r="AC70" s="902"/>
      <c r="AD70" s="902"/>
    </row>
    <row customHeight="1" ht="36">
      <c r="A71" s="901"/>
      <c r="B71" s="955">
        <v>54</v>
      </c>
      <c r="C71" s="899"/>
      <c r="D71" s="1023"/>
      <c r="E71" s="899" t="s">
        <v>2294</v>
      </c>
      <c r="F71" s="899"/>
      <c r="G71" s="899"/>
      <c r="H71" s="947"/>
      <c r="I71" s="1061">
        <f>INDEX(TEMPLATE_NUMBER_POINT_FHD,B71,MATCH(TEMPLATE_SPHERE,TEMPLATE_SPHERE_LIST_FOR_NOTE,0))</f>
        <v>0</v>
      </c>
      <c r="J71" s="1061">
        <f>INDEX(TEMPLATE_DATA_POINT_FHD,B71,MATCH(TEMPLATE_SPHERE,TEMPLATE_SPHERE_LIST_FOR_NOTE,0))</f>
        <v>0</v>
      </c>
      <c r="K71" s="1061">
        <f>INDEX(TEMPLATE_NOTE_POINT_FHD,B71,MATCH(TEMPLATE_SPHERE,TEMPLATE_SPHERE_LIST_FOR_NOTE,0))</f>
        <v>0</v>
      </c>
      <c r="L71" s="900" t="str">
        <f>IF(I71=0,"",I71)</f>
        <v/>
      </c>
      <c r="M71" s="900" t="str">
        <f>IF(J71=0,"",J71)</f>
        <v/>
      </c>
      <c r="N71" s="900" t="str">
        <f>IF(K71=0,"",K71)</f>
        <v/>
      </c>
      <c r="O71" s="1013"/>
      <c r="P71" s="1013"/>
      <c r="Q71" s="1013" t="s">
        <v>135</v>
      </c>
      <c r="R71" s="1013"/>
      <c r="S71" s="1013"/>
      <c r="T71" s="899"/>
      <c r="U71" s="899"/>
      <c r="V71" s="899" t="s">
        <v>2310</v>
      </c>
      <c r="W71" s="899"/>
      <c r="X71" s="899"/>
      <c r="Y71" s="1056"/>
      <c r="Z71" s="902"/>
      <c r="AA71" s="905"/>
      <c r="AB71" s="902"/>
      <c r="AC71" s="902"/>
      <c r="AD71" s="902"/>
    </row>
    <row customHeight="1" ht="27">
      <c r="A72" s="901"/>
      <c r="B72" s="955">
        <v>55</v>
      </c>
      <c r="C72" s="899"/>
      <c r="D72" s="1023"/>
      <c r="E72" s="899" t="s">
        <v>2296</v>
      </c>
      <c r="F72" s="899"/>
      <c r="G72" s="899"/>
      <c r="H72" s="947"/>
      <c r="I72" s="1061">
        <f>INDEX(TEMPLATE_NUMBER_POINT_FHD,B72,MATCH(TEMPLATE_SPHERE,TEMPLATE_SPHERE_LIST_FOR_NOTE,0))</f>
        <v>0</v>
      </c>
      <c r="J72" s="1061">
        <f>INDEX(TEMPLATE_DATA_POINT_FHD,B72,MATCH(TEMPLATE_SPHERE,TEMPLATE_SPHERE_LIST_FOR_NOTE,0))</f>
        <v>0</v>
      </c>
      <c r="K72" s="1061">
        <f>INDEX(TEMPLATE_NOTE_POINT_FHD,B72,MATCH(TEMPLATE_SPHERE,TEMPLATE_SPHERE_LIST_FOR_NOTE,0))</f>
        <v>0</v>
      </c>
      <c r="L72" s="900" t="str">
        <f>IF(I72=0,"",I72)</f>
        <v/>
      </c>
      <c r="M72" s="900" t="str">
        <f>IF(J72=0,"",J72)</f>
        <v/>
      </c>
      <c r="N72" s="900" t="str">
        <f>IF(K72=0,"",K72)</f>
        <v/>
      </c>
      <c r="O72" s="1013"/>
      <c r="P72" s="1013"/>
      <c r="Q72" s="1013" t="s">
        <v>140</v>
      </c>
      <c r="R72" s="1013"/>
      <c r="S72" s="1013"/>
      <c r="T72" s="899"/>
      <c r="U72" s="899"/>
      <c r="V72" s="899" t="s">
        <v>2311</v>
      </c>
      <c r="W72" s="899"/>
      <c r="X72" s="899"/>
      <c r="Y72" s="1056"/>
      <c r="Z72" s="902"/>
      <c r="AA72" s="905"/>
      <c r="AB72" s="902"/>
      <c r="AC72" s="902"/>
      <c r="AD72" s="902"/>
    </row>
    <row customHeight="1" ht="36">
      <c r="A73" s="901"/>
      <c r="B73" s="955">
        <v>56</v>
      </c>
      <c r="C73" s="899"/>
      <c r="D73" s="1023"/>
      <c r="E73" s="899" t="s">
        <v>2298</v>
      </c>
      <c r="F73" s="899"/>
      <c r="G73" s="899"/>
      <c r="H73" s="947"/>
      <c r="I73" s="1061">
        <f>INDEX(TEMPLATE_NUMBER_POINT_FHD,B73,MATCH(TEMPLATE_SPHERE,TEMPLATE_SPHERE_LIST_FOR_NOTE,0))</f>
        <v>0</v>
      </c>
      <c r="J73" s="1061">
        <f>INDEX(TEMPLATE_DATA_POINT_FHD,B73,MATCH(TEMPLATE_SPHERE,TEMPLATE_SPHERE_LIST_FOR_NOTE,0))</f>
        <v>0</v>
      </c>
      <c r="K73" s="1061">
        <f>INDEX(TEMPLATE_NOTE_POINT_FHD,B73,MATCH(TEMPLATE_SPHERE,TEMPLATE_SPHERE_LIST_FOR_NOTE,0))</f>
        <v>0</v>
      </c>
      <c r="L73" s="900" t="str">
        <f>IF(I73=0,"",I73)</f>
        <v/>
      </c>
      <c r="M73" s="900" t="str">
        <f>IF(J73=0,"",J73)</f>
        <v/>
      </c>
      <c r="N73" s="900" t="str">
        <f>IF(K73=0,"",K73)</f>
        <v/>
      </c>
      <c r="O73" s="1013"/>
      <c r="P73" s="1013"/>
      <c r="Q73" s="1013" t="s">
        <v>145</v>
      </c>
      <c r="R73" s="1013"/>
      <c r="S73" s="1013"/>
      <c r="T73" s="899"/>
      <c r="U73" s="899"/>
      <c r="V73" s="899" t="s">
        <v>2312</v>
      </c>
      <c r="W73" s="899"/>
      <c r="X73" s="899"/>
      <c r="Y73" s="1056"/>
      <c r="Z73" s="902"/>
      <c r="AA73" s="905"/>
      <c r="AB73" s="902"/>
      <c r="AC73" s="902"/>
      <c r="AD73" s="902"/>
    </row>
    <row customHeight="1" ht="18">
      <c r="A74" s="901"/>
      <c r="B74" s="955">
        <v>57</v>
      </c>
      <c r="C74" s="899"/>
      <c r="D74" s="1023"/>
      <c r="E74" s="899" t="s">
        <v>2307</v>
      </c>
      <c r="F74" s="899"/>
      <c r="G74" s="899"/>
      <c r="H74" s="947"/>
      <c r="I74" s="1061">
        <f>INDEX(TEMPLATE_NUMBER_POINT_FHD,B74,MATCH(TEMPLATE_SPHERE,TEMPLATE_SPHERE_LIST_FOR_NOTE,0))</f>
        <v>0</v>
      </c>
      <c r="J74" s="1061">
        <f>INDEX(TEMPLATE_DATA_POINT_FHD,B74,MATCH(TEMPLATE_SPHERE,TEMPLATE_SPHERE_LIST_FOR_NOTE,0))</f>
        <v>0</v>
      </c>
      <c r="K74" s="1061">
        <f>INDEX(TEMPLATE_NOTE_POINT_FHD,B74,MATCH(TEMPLATE_SPHERE,TEMPLATE_SPHERE_LIST_FOR_NOTE,0))</f>
        <v>0</v>
      </c>
      <c r="L74" s="900" t="str">
        <f>IF(I74=0,"",I74)</f>
        <v/>
      </c>
      <c r="M74" s="900" t="str">
        <f>IF(J74=0,"",J74)</f>
        <v/>
      </c>
      <c r="N74" s="900" t="str">
        <f>IF(K74=0,"",K74)</f>
        <v/>
      </c>
      <c r="O74" s="1013"/>
      <c r="P74" s="1013"/>
      <c r="Q74" s="1013" t="s">
        <v>150</v>
      </c>
      <c r="R74" s="1013"/>
      <c r="S74" s="1013"/>
      <c r="T74" s="899"/>
      <c r="U74" s="899"/>
      <c r="V74" s="899" t="s">
        <v>2313</v>
      </c>
      <c r="W74" s="899"/>
      <c r="X74" s="899"/>
      <c r="Y74" s="1056"/>
      <c r="Z74" s="902"/>
      <c r="AA74" s="905"/>
      <c r="AB74" s="902"/>
      <c r="AC74" s="902"/>
      <c r="AD74" s="902"/>
    </row>
    <row customHeight="1" ht="18">
      <c r="A75" s="901"/>
      <c r="B75" s="955">
        <v>58</v>
      </c>
      <c r="C75" s="899"/>
      <c r="D75" s="1023"/>
      <c r="E75" s="899"/>
      <c r="F75" s="899" t="s">
        <v>2292</v>
      </c>
      <c r="G75" s="899"/>
      <c r="H75" s="947"/>
      <c r="I75" s="1061">
        <f>INDEX(TEMPLATE_NUMBER_POINT_FHD,B75,MATCH(TEMPLATE_SPHERE,TEMPLATE_SPHERE_LIST_FOR_NOTE,0))</f>
        <v>0</v>
      </c>
      <c r="J75" s="1061">
        <f>INDEX(TEMPLATE_DATA_POINT_FHD,B75,MATCH(TEMPLATE_SPHERE,TEMPLATE_SPHERE_LIST_FOR_NOTE,0))</f>
        <v>0</v>
      </c>
      <c r="K75" s="1061">
        <f>INDEX(TEMPLATE_NOTE_POINT_FHD,B75,MATCH(TEMPLATE_SPHERE,TEMPLATE_SPHERE_LIST_FOR_NOTE,0))</f>
        <v>0</v>
      </c>
      <c r="L75" s="900" t="str">
        <f>IF(I75=0,"",I75)</f>
        <v/>
      </c>
      <c r="M75" s="900" t="str">
        <f>IF(J75=0,"",J75)</f>
        <v/>
      </c>
      <c r="N75" s="900" t="str">
        <f>IF(K75=0,"",K75)</f>
        <v/>
      </c>
      <c r="O75" s="1013"/>
      <c r="P75" s="1013"/>
      <c r="Q75" s="1013"/>
      <c r="R75" s="1013" t="s">
        <v>97</v>
      </c>
      <c r="S75" s="1013"/>
      <c r="T75" s="899"/>
      <c r="U75" s="899"/>
      <c r="V75" s="899"/>
      <c r="W75" s="899" t="s">
        <v>2314</v>
      </c>
      <c r="X75" s="899"/>
      <c r="Y75" s="1056"/>
      <c r="Z75" s="902"/>
      <c r="AA75" s="905"/>
      <c r="AB75" s="902"/>
      <c r="AC75" s="902"/>
      <c r="AD75" s="902"/>
    </row>
    <row customHeight="1" ht="36">
      <c r="A76" s="901"/>
      <c r="B76" s="955">
        <v>59</v>
      </c>
      <c r="C76" s="899"/>
      <c r="D76" s="1023"/>
      <c r="E76" s="899"/>
      <c r="F76" s="899" t="s">
        <v>2294</v>
      </c>
      <c r="G76" s="899"/>
      <c r="H76" s="947"/>
      <c r="I76" s="1061">
        <f>INDEX(TEMPLATE_NUMBER_POINT_FHD,B76,MATCH(TEMPLATE_SPHERE,TEMPLATE_SPHERE_LIST_FOR_NOTE,0))</f>
        <v>0</v>
      </c>
      <c r="J76" s="1061">
        <f>INDEX(TEMPLATE_DATA_POINT_FHD,B76,MATCH(TEMPLATE_SPHERE,TEMPLATE_SPHERE_LIST_FOR_NOTE,0))</f>
        <v>0</v>
      </c>
      <c r="K76" s="1061">
        <f>INDEX(TEMPLATE_NOTE_POINT_FHD,B76,MATCH(TEMPLATE_SPHERE,TEMPLATE_SPHERE_LIST_FOR_NOTE,0))</f>
        <v>0</v>
      </c>
      <c r="L76" s="900" t="str">
        <f>IF(I76=0,"",I76)</f>
        <v/>
      </c>
      <c r="M76" s="900" t="str">
        <f>IF(J76=0,"",J76)</f>
        <v/>
      </c>
      <c r="N76" s="900" t="str">
        <f>IF(K76=0,"",K76)</f>
        <v/>
      </c>
      <c r="O76" s="1013"/>
      <c r="P76" s="1013"/>
      <c r="Q76" s="1013"/>
      <c r="R76" s="1013" t="s">
        <v>135</v>
      </c>
      <c r="S76" s="1013"/>
      <c r="T76" s="899"/>
      <c r="U76" s="899"/>
      <c r="V76" s="899"/>
      <c r="W76" s="899" t="s">
        <v>2315</v>
      </c>
      <c r="X76" s="899"/>
      <c r="Y76" s="1056"/>
      <c r="Z76" s="902"/>
      <c r="AA76" s="905"/>
      <c r="AB76" s="902"/>
      <c r="AC76" s="902"/>
      <c r="AD76" s="902"/>
    </row>
    <row customHeight="1" ht="18">
      <c r="A77" s="901"/>
      <c r="B77" s="955">
        <v>60</v>
      </c>
      <c r="C77" s="899"/>
      <c r="D77" s="1023"/>
      <c r="E77" s="899"/>
      <c r="F77" s="899" t="s">
        <v>2296</v>
      </c>
      <c r="G77" s="899"/>
      <c r="H77" s="947"/>
      <c r="I77" s="1061">
        <f>INDEX(TEMPLATE_NUMBER_POINT_FHD,B77,MATCH(TEMPLATE_SPHERE,TEMPLATE_SPHERE_LIST_FOR_NOTE,0))</f>
        <v>0</v>
      </c>
      <c r="J77" s="1061">
        <f>INDEX(TEMPLATE_DATA_POINT_FHD,B77,MATCH(TEMPLATE_SPHERE,TEMPLATE_SPHERE_LIST_FOR_NOTE,0))</f>
        <v>0</v>
      </c>
      <c r="K77" s="1061">
        <f>INDEX(TEMPLATE_NOTE_POINT_FHD,B77,MATCH(TEMPLATE_SPHERE,TEMPLATE_SPHERE_LIST_FOR_NOTE,0))</f>
        <v>0</v>
      </c>
      <c r="L77" s="900" t="str">
        <f>IF(I77=0,"",I77)</f>
        <v/>
      </c>
      <c r="M77" s="900" t="str">
        <f>IF(J77=0,"",J77)</f>
        <v/>
      </c>
      <c r="N77" s="900" t="str">
        <f>IF(K77=0,"",K77)</f>
        <v/>
      </c>
      <c r="O77" s="1013"/>
      <c r="P77" s="1013"/>
      <c r="Q77" s="1013"/>
      <c r="R77" s="1013" t="s">
        <v>140</v>
      </c>
      <c r="S77" s="1013"/>
      <c r="T77" s="899"/>
      <c r="U77" s="899"/>
      <c r="V77" s="899"/>
      <c r="W77" s="899" t="s">
        <v>2316</v>
      </c>
      <c r="X77" s="899"/>
      <c r="Y77" s="1056"/>
      <c r="Z77" s="902"/>
      <c r="AA77" s="905"/>
      <c r="AB77" s="902"/>
      <c r="AC77" s="902"/>
      <c r="AD77" s="902"/>
    </row>
    <row customHeight="1" ht="72">
      <c r="A78" s="901"/>
      <c r="B78" s="955">
        <v>61</v>
      </c>
      <c r="C78" s="899" t="s">
        <v>2292</v>
      </c>
      <c r="D78" s="1023"/>
      <c r="E78" s="899"/>
      <c r="F78" s="899"/>
      <c r="G78" s="899"/>
      <c r="H78" s="947"/>
      <c r="I78" s="1061">
        <f>INDEX(TEMPLATE_NUMBER_POINT_FHD,B78,MATCH(TEMPLATE_SPHERE,TEMPLATE_SPHERE_LIST_FOR_NOTE,0))</f>
        <v>0</v>
      </c>
      <c r="J78" s="1061">
        <f>INDEX(TEMPLATE_DATA_POINT_FHD,B78,MATCH(TEMPLATE_SPHERE,TEMPLATE_SPHERE_LIST_FOR_NOTE,0))</f>
        <v>0</v>
      </c>
      <c r="K78" s="1061">
        <f>INDEX(TEMPLATE_NOTE_POINT_FHD,B78,MATCH(TEMPLATE_SPHERE,TEMPLATE_SPHERE_LIST_FOR_NOTE,0))</f>
        <v>0</v>
      </c>
      <c r="L78" s="900" t="str">
        <f>IF(I78=0,"",I78)</f>
        <v/>
      </c>
      <c r="M78" s="900" t="str">
        <f>IF(J78=0,"",J78)</f>
        <v/>
      </c>
      <c r="N78" s="900" t="str">
        <f>IF(K78=0,"",K78)</f>
        <v/>
      </c>
      <c r="O78" s="1013" t="s">
        <v>97</v>
      </c>
      <c r="P78" s="1013"/>
      <c r="Q78" s="1013"/>
      <c r="R78" s="1013"/>
      <c r="S78" s="1013"/>
      <c r="T78" s="899" t="s">
        <v>767</v>
      </c>
      <c r="U78" s="899"/>
      <c r="V78" s="899"/>
      <c r="W78" s="899"/>
      <c r="X78" s="899"/>
      <c r="Y78" s="1056"/>
      <c r="Z78" s="902" t="s">
        <v>2317</v>
      </c>
      <c r="AA78" s="905"/>
      <c r="AB78" s="902"/>
      <c r="AC78" s="902"/>
      <c r="AD78" s="902"/>
    </row>
    <row customHeight="1" ht="36">
      <c r="A79" s="901"/>
      <c r="B79" s="955">
        <v>62</v>
      </c>
      <c r="C79" s="899" t="s">
        <v>2294</v>
      </c>
      <c r="D79" s="1023"/>
      <c r="E79" s="899"/>
      <c r="F79" s="899"/>
      <c r="G79" s="899"/>
      <c r="H79" s="947"/>
      <c r="I79" s="1061">
        <f>INDEX(TEMPLATE_NUMBER_POINT_FHD,B79,MATCH(TEMPLATE_SPHERE,TEMPLATE_SPHERE_LIST_FOR_NOTE,0))</f>
        <v>0</v>
      </c>
      <c r="J79" s="1061">
        <f>INDEX(TEMPLATE_DATA_POINT_FHD,B79,MATCH(TEMPLATE_SPHERE,TEMPLATE_SPHERE_LIST_FOR_NOTE,0))</f>
        <v>0</v>
      </c>
      <c r="K79" s="1061">
        <f>INDEX(TEMPLATE_NOTE_POINT_FHD,B79,MATCH(TEMPLATE_SPHERE,TEMPLATE_SPHERE_LIST_FOR_NOTE,0))</f>
        <v>0</v>
      </c>
      <c r="L79" s="900" t="str">
        <f>IF(I79=0,"",I79)</f>
        <v/>
      </c>
      <c r="M79" s="900" t="str">
        <f>IF(J79=0,"",J79)</f>
        <v/>
      </c>
      <c r="N79" s="900" t="str">
        <f>IF(K79=0,"",K79)</f>
        <v/>
      </c>
      <c r="O79" s="1013" t="s">
        <v>135</v>
      </c>
      <c r="P79" s="1013"/>
      <c r="Q79" s="1013"/>
      <c r="R79" s="1013"/>
      <c r="S79" s="1013"/>
      <c r="T79" s="899" t="s">
        <v>2318</v>
      </c>
      <c r="U79" s="899"/>
      <c r="V79" s="899"/>
      <c r="W79" s="899"/>
      <c r="X79" s="899"/>
      <c r="Y79" s="1056"/>
      <c r="Z79" s="902" t="s">
        <v>2319</v>
      </c>
      <c r="AA79" s="905"/>
      <c r="AB79" s="902"/>
      <c r="AC79" s="902"/>
      <c r="AD79" s="902"/>
    </row>
    <row customHeight="1" ht="45">
      <c r="A80" s="901"/>
      <c r="B80" s="955">
        <v>63</v>
      </c>
      <c r="C80" s="899" t="s">
        <v>2296</v>
      </c>
      <c r="D80" s="1023"/>
      <c r="E80" s="899"/>
      <c r="F80" s="899"/>
      <c r="G80" s="899"/>
      <c r="H80" s="947"/>
      <c r="I80" s="1061">
        <f>INDEX(TEMPLATE_NUMBER_POINT_FHD,B80,MATCH(TEMPLATE_SPHERE,TEMPLATE_SPHERE_LIST_FOR_NOTE,0))</f>
        <v>0</v>
      </c>
      <c r="J80" s="1061">
        <f>INDEX(TEMPLATE_DATA_POINT_FHD,B80,MATCH(TEMPLATE_SPHERE,TEMPLATE_SPHERE_LIST_FOR_NOTE,0))</f>
        <v>0</v>
      </c>
      <c r="K80" s="1061">
        <f>INDEX(TEMPLATE_NOTE_POINT_FHD,B80,MATCH(TEMPLATE_SPHERE,TEMPLATE_SPHERE_LIST_FOR_NOTE,0))</f>
        <v>0</v>
      </c>
      <c r="L80" s="900" t="str">
        <f>IF(I80=0,"",I80)</f>
        <v/>
      </c>
      <c r="M80" s="900" t="str">
        <f>IF(J80=0,"",J80)</f>
        <v/>
      </c>
      <c r="N80" s="900" t="str">
        <f>IF(K80=0,"",K80)</f>
        <v/>
      </c>
      <c r="O80" s="1013" t="s">
        <v>140</v>
      </c>
      <c r="P80" s="1013"/>
      <c r="Q80" s="1013"/>
      <c r="R80" s="1013"/>
      <c r="S80" s="1013"/>
      <c r="T80" s="899" t="s">
        <v>2320</v>
      </c>
      <c r="U80" s="899"/>
      <c r="V80" s="899"/>
      <c r="W80" s="899"/>
      <c r="X80" s="899"/>
      <c r="Y80" s="1056"/>
      <c r="Z80" s="902" t="s">
        <v>2321</v>
      </c>
      <c r="AA80" s="905"/>
      <c r="AB80" s="902"/>
      <c r="AC80" s="902"/>
      <c r="AD80" s="902"/>
    </row>
    <row customHeight="1" ht="36">
      <c r="A81" s="901"/>
      <c r="B81" s="955">
        <v>64</v>
      </c>
      <c r="C81" s="899" t="s">
        <v>2298</v>
      </c>
      <c r="D81" s="1023"/>
      <c r="E81" s="899"/>
      <c r="F81" s="899"/>
      <c r="G81" s="899"/>
      <c r="H81" s="947"/>
      <c r="I81" s="1061">
        <f>INDEX(TEMPLATE_NUMBER_POINT_FHD,B81,MATCH(TEMPLATE_SPHERE,TEMPLATE_SPHERE_LIST_FOR_NOTE,0))</f>
        <v>0</v>
      </c>
      <c r="J81" s="1061">
        <f>INDEX(TEMPLATE_DATA_POINT_FHD,B81,MATCH(TEMPLATE_SPHERE,TEMPLATE_SPHERE_LIST_FOR_NOTE,0))</f>
        <v>0</v>
      </c>
      <c r="K81" s="1061">
        <f>INDEX(TEMPLATE_NOTE_POINT_FHD,B81,MATCH(TEMPLATE_SPHERE,TEMPLATE_SPHERE_LIST_FOR_NOTE,0))</f>
        <v>0</v>
      </c>
      <c r="L81" s="900" t="str">
        <f>IF(I81=0,"",I81)</f>
        <v/>
      </c>
      <c r="M81" s="900" t="str">
        <f>IF(J81=0,"",J81)</f>
        <v/>
      </c>
      <c r="N81" s="900" t="str">
        <f>IF(K81=0,"",K81)</f>
        <v/>
      </c>
      <c r="O81" s="1013" t="s">
        <v>2204</v>
      </c>
      <c r="P81" s="1013"/>
      <c r="Q81" s="1013"/>
      <c r="R81" s="1013"/>
      <c r="S81" s="1013"/>
      <c r="T81" s="899" t="s">
        <v>2322</v>
      </c>
      <c r="U81" s="899"/>
      <c r="V81" s="899"/>
      <c r="W81" s="899"/>
      <c r="X81" s="899"/>
      <c r="Y81" s="1056"/>
      <c r="Z81" s="902" t="s">
        <v>2323</v>
      </c>
      <c r="AA81" s="905"/>
      <c r="AB81" s="902"/>
      <c r="AC81" s="902"/>
      <c r="AD81" s="902"/>
    </row>
    <row customHeight="1" ht="90">
      <c r="A82" s="901"/>
      <c r="B82" s="955">
        <v>65</v>
      </c>
      <c r="C82" s="899" t="s">
        <v>2307</v>
      </c>
      <c r="D82" s="1023"/>
      <c r="E82" s="899"/>
      <c r="F82" s="899"/>
      <c r="G82" s="899"/>
      <c r="H82" s="947"/>
      <c r="I82" s="1061">
        <f>INDEX(TEMPLATE_NUMBER_POINT_FHD,B82,MATCH(TEMPLATE_SPHERE,TEMPLATE_SPHERE_LIST_FOR_NOTE,0))</f>
        <v>0</v>
      </c>
      <c r="J82" s="1061">
        <f>INDEX(TEMPLATE_DATA_POINT_FHD,B82,MATCH(TEMPLATE_SPHERE,TEMPLATE_SPHERE_LIST_FOR_NOTE,0))</f>
        <v>0</v>
      </c>
      <c r="K82" s="1061">
        <f>INDEX(TEMPLATE_NOTE_POINT_FHD,B82,MATCH(TEMPLATE_SPHERE,TEMPLATE_SPHERE_LIST_FOR_NOTE,0))</f>
        <v>0</v>
      </c>
      <c r="L82" s="900" t="str">
        <f>IF(I82=0,"",I82)</f>
        <v/>
      </c>
      <c r="M82" s="900" t="str">
        <f>IF(J82=0,"",J82)</f>
        <v/>
      </c>
      <c r="N82" s="900" t="str">
        <f>IF(K82=0,"",K82)</f>
        <v/>
      </c>
      <c r="O82" s="1013" t="s">
        <v>145</v>
      </c>
      <c r="P82" s="1013"/>
      <c r="Q82" s="1013"/>
      <c r="R82" s="1013"/>
      <c r="S82" s="1013"/>
      <c r="T82" s="899" t="s">
        <v>2324</v>
      </c>
      <c r="U82" s="899"/>
      <c r="V82" s="899"/>
      <c r="W82" s="899"/>
      <c r="X82" s="899"/>
      <c r="Y82" s="1056"/>
      <c r="Z82" s="902" t="s">
        <v>2325</v>
      </c>
      <c r="AA82" s="905"/>
      <c r="AB82" s="902"/>
      <c r="AC82" s="902"/>
      <c r="AD82" s="902"/>
    </row>
    <row customHeight="1" ht="9">
      <c r="A83" s="901"/>
      <c r="B83" s="955">
        <v>66</v>
      </c>
      <c r="C83" s="899"/>
      <c r="D83" s="1023"/>
      <c r="E83" s="899"/>
      <c r="F83" s="899"/>
      <c r="G83" s="899"/>
      <c r="H83" s="947"/>
      <c r="I83" s="1061">
        <f>INDEX(TEMPLATE_NUMBER_POINT_FHD,B83,MATCH(TEMPLATE_SPHERE,TEMPLATE_SPHERE_LIST_FOR_NOTE,0))</f>
        <v>0</v>
      </c>
      <c r="J83" s="1061">
        <f>INDEX(TEMPLATE_DATA_POINT_FHD,B83,MATCH(TEMPLATE_SPHERE,TEMPLATE_SPHERE_LIST_FOR_NOTE,0))</f>
        <v>0</v>
      </c>
      <c r="K83" s="1061">
        <f>INDEX(TEMPLATE_NOTE_POINT_FHD,B83,MATCH(TEMPLATE_SPHERE,TEMPLATE_SPHERE_LIST_FOR_NOTE,0))</f>
        <v>0</v>
      </c>
      <c r="L83" s="900" t="str">
        <f>IF(I83=0,"",I83)</f>
        <v/>
      </c>
      <c r="M83" s="900" t="str">
        <f>IF(J83=0,"",J83)</f>
        <v/>
      </c>
      <c r="N83" s="900" t="str">
        <f>IF(K83=0,"",K83)</f>
        <v/>
      </c>
      <c r="O83" s="1013" t="s">
        <v>2213</v>
      </c>
      <c r="P83" s="1013"/>
      <c r="Q83" s="1013"/>
      <c r="R83" s="1013"/>
      <c r="S83" s="1013"/>
      <c r="T83" s="899" t="s">
        <v>2326</v>
      </c>
      <c r="U83" s="899"/>
      <c r="V83" s="899"/>
      <c r="W83" s="899"/>
      <c r="X83" s="899"/>
      <c r="Y83" s="1056"/>
      <c r="Z83" s="902"/>
      <c r="AA83" s="905"/>
      <c r="AB83" s="902"/>
      <c r="AC83" s="902"/>
      <c r="AD83" s="902"/>
    </row>
    <row customHeight="1" ht="54">
      <c r="A84" s="901"/>
      <c r="B84" s="955">
        <v>67</v>
      </c>
      <c r="C84" s="899"/>
      <c r="D84" s="1023"/>
      <c r="E84" s="899"/>
      <c r="F84" s="899"/>
      <c r="G84" s="899"/>
      <c r="H84" s="947"/>
      <c r="I84" s="1061">
        <f>INDEX(TEMPLATE_NUMBER_POINT_FHD,B84,MATCH(TEMPLATE_SPHERE,TEMPLATE_SPHERE_LIST_FOR_NOTE,0))</f>
        <v>0</v>
      </c>
      <c r="J84" s="1061">
        <f>INDEX(TEMPLATE_DATA_POINT_FHD,B84,MATCH(TEMPLATE_SPHERE,TEMPLATE_SPHERE_LIST_FOR_NOTE,0))</f>
        <v>0</v>
      </c>
      <c r="K84" s="1061">
        <f>INDEX(TEMPLATE_NOTE_POINT_FHD,B84,MATCH(TEMPLATE_SPHERE,TEMPLATE_SPHERE_LIST_FOR_NOTE,0))</f>
        <v>0</v>
      </c>
      <c r="L84" s="900" t="str">
        <f>IF(I84=0,"",I84)</f>
        <v/>
      </c>
      <c r="M84" s="900" t="str">
        <f>IF(J84=0,"",J84)</f>
        <v/>
      </c>
      <c r="N84" s="900" t="str">
        <f>IF(K84=0,"",K84)</f>
        <v/>
      </c>
      <c r="O84" s="1013" t="s">
        <v>2327</v>
      </c>
      <c r="P84" s="1013"/>
      <c r="Q84" s="1013"/>
      <c r="R84" s="1013"/>
      <c r="S84" s="1013"/>
      <c r="T84" s="899" t="s">
        <v>2328</v>
      </c>
      <c r="U84" s="899"/>
      <c r="V84" s="899"/>
      <c r="W84" s="899"/>
      <c r="X84" s="899"/>
      <c r="Y84" s="1056"/>
      <c r="Z84" s="902"/>
      <c r="AA84" s="905"/>
      <c r="AB84" s="902"/>
      <c r="AC84" s="902"/>
      <c r="AD84" s="902"/>
    </row>
    <row customHeight="1" ht="9">
      <c r="A85" s="901"/>
      <c r="B85" s="955">
        <v>68</v>
      </c>
      <c r="C85" s="899"/>
      <c r="D85" s="1023"/>
      <c r="E85" s="899"/>
      <c r="F85" s="899"/>
      <c r="G85" s="899"/>
      <c r="H85" s="947"/>
      <c r="I85" s="1061">
        <f>INDEX(TEMPLATE_NUMBER_POINT_FHD,B85,MATCH(TEMPLATE_SPHERE,TEMPLATE_SPHERE_LIST_FOR_NOTE,0))</f>
        <v>0</v>
      </c>
      <c r="J85" s="1061">
        <f>INDEX(TEMPLATE_DATA_POINT_FHD,B85,MATCH(TEMPLATE_SPHERE,TEMPLATE_SPHERE_LIST_FOR_NOTE,0))</f>
        <v>0</v>
      </c>
      <c r="K85" s="1061">
        <f>INDEX(TEMPLATE_NOTE_POINT_FHD,B85,MATCH(TEMPLATE_SPHERE,TEMPLATE_SPHERE_LIST_FOR_NOTE,0))</f>
        <v>0</v>
      </c>
      <c r="L85" s="900" t="str">
        <f>IF(I85=0,"",I85)</f>
        <v/>
      </c>
      <c r="M85" s="900" t="str">
        <f>IF(J85=0,"",J85)</f>
        <v/>
      </c>
      <c r="N85" s="900" t="str">
        <f>IF(K85=0,"",K85)</f>
        <v/>
      </c>
      <c r="O85" s="1013" t="s">
        <v>2217</v>
      </c>
      <c r="P85" s="1013"/>
      <c r="Q85" s="1013"/>
      <c r="R85" s="1013"/>
      <c r="S85" s="1013"/>
      <c r="T85" s="899" t="s">
        <v>2329</v>
      </c>
      <c r="U85" s="899"/>
      <c r="V85" s="899"/>
      <c r="W85" s="899"/>
      <c r="X85" s="899"/>
      <c r="Y85" s="1056"/>
      <c r="Z85" s="902"/>
      <c r="AA85" s="905"/>
      <c r="AB85" s="902"/>
      <c r="AC85" s="902"/>
      <c r="AD85" s="902"/>
    </row>
    <row customHeight="1" ht="27">
      <c r="A86" s="901"/>
      <c r="B86" s="955">
        <v>69</v>
      </c>
      <c r="C86" s="899"/>
      <c r="D86" s="1023"/>
      <c r="E86" s="899"/>
      <c r="F86" s="899"/>
      <c r="G86" s="899"/>
      <c r="H86" s="947"/>
      <c r="I86" s="1061">
        <f>INDEX(TEMPLATE_NUMBER_POINT_FHD,B86,MATCH(TEMPLATE_SPHERE,TEMPLATE_SPHERE_LIST_FOR_NOTE,0))</f>
        <v>0</v>
      </c>
      <c r="J86" s="1061">
        <f>INDEX(TEMPLATE_DATA_POINT_FHD,B86,MATCH(TEMPLATE_SPHERE,TEMPLATE_SPHERE_LIST_FOR_NOTE,0))</f>
        <v>0</v>
      </c>
      <c r="K86" s="1061">
        <f>INDEX(TEMPLATE_NOTE_POINT_FHD,B86,MATCH(TEMPLATE_SPHERE,TEMPLATE_SPHERE_LIST_FOR_NOTE,0))</f>
        <v>0</v>
      </c>
      <c r="L86" s="900" t="str">
        <f>IF(I86=0,"",I86)</f>
        <v/>
      </c>
      <c r="M86" s="900" t="str">
        <f>IF(J86=0,"",J86)</f>
        <v/>
      </c>
      <c r="N86" s="900" t="str">
        <f>IF(K86=0,"",K86)</f>
        <v/>
      </c>
      <c r="O86" s="1013" t="s">
        <v>2330</v>
      </c>
      <c r="P86" s="1013"/>
      <c r="Q86" s="1013"/>
      <c r="R86" s="1013"/>
      <c r="S86" s="1013"/>
      <c r="T86" s="899" t="s">
        <v>2331</v>
      </c>
      <c r="U86" s="899"/>
      <c r="V86" s="899"/>
      <c r="W86" s="899"/>
      <c r="X86" s="899"/>
      <c r="Y86" s="1056"/>
      <c r="Z86" s="902"/>
      <c r="AA86" s="905"/>
      <c r="AB86" s="902"/>
      <c r="AC86" s="902"/>
      <c r="AD86" s="902"/>
    </row>
    <row customHeight="1" ht="36">
      <c r="A87" s="901"/>
      <c r="B87" s="955">
        <v>70</v>
      </c>
      <c r="C87" s="899" t="s">
        <v>2332</v>
      </c>
      <c r="D87" s="1023"/>
      <c r="E87" s="899"/>
      <c r="F87" s="899"/>
      <c r="G87" s="899"/>
      <c r="H87" s="947"/>
      <c r="I87" s="1061">
        <f>INDEX(TEMPLATE_NUMBER_POINT_FHD,B87,MATCH(TEMPLATE_SPHERE,TEMPLATE_SPHERE_LIST_FOR_NOTE,0))</f>
        <v>0</v>
      </c>
      <c r="J87" s="1061">
        <f>INDEX(TEMPLATE_DATA_POINT_FHD,B87,MATCH(TEMPLATE_SPHERE,TEMPLATE_SPHERE_LIST_FOR_NOTE,0))</f>
        <v>0</v>
      </c>
      <c r="K87" s="1061">
        <f>INDEX(TEMPLATE_NOTE_POINT_FHD,B87,MATCH(TEMPLATE_SPHERE,TEMPLATE_SPHERE_LIST_FOR_NOTE,0))</f>
        <v>0</v>
      </c>
      <c r="L87" s="900" t="str">
        <f>IF(I87=0,"",I87)</f>
        <v/>
      </c>
      <c r="M87" s="900" t="str">
        <f>IF(J87=0,"",J87)</f>
        <v/>
      </c>
      <c r="N87" s="900" t="str">
        <f>IF(K87=0,"",K87)</f>
        <v/>
      </c>
      <c r="O87" s="1013" t="s">
        <v>150</v>
      </c>
      <c r="P87" s="1013"/>
      <c r="Q87" s="1013"/>
      <c r="R87" s="1013"/>
      <c r="S87" s="1013"/>
      <c r="T87" s="899" t="s">
        <v>2333</v>
      </c>
      <c r="U87" s="899"/>
      <c r="V87" s="899"/>
      <c r="W87" s="899"/>
      <c r="X87" s="899"/>
      <c r="Y87" s="1056"/>
      <c r="Z87" s="902"/>
      <c r="AA87" s="905"/>
      <c r="AB87" s="902"/>
      <c r="AC87" s="902"/>
      <c r="AD87" s="902"/>
    </row>
    <row customHeight="1" ht="18">
      <c r="A88" s="901"/>
      <c r="B88" s="955">
        <v>71</v>
      </c>
      <c r="C88" s="899" t="s">
        <v>2334</v>
      </c>
      <c r="D88" s="1023"/>
      <c r="E88" s="899"/>
      <c r="F88" s="899"/>
      <c r="G88" s="899"/>
      <c r="H88" s="947"/>
      <c r="I88" s="1061">
        <f>INDEX(TEMPLATE_NUMBER_POINT_FHD,B88,MATCH(TEMPLATE_SPHERE,TEMPLATE_SPHERE_LIST_FOR_NOTE,0))</f>
        <v>0</v>
      </c>
      <c r="J88" s="1061">
        <f>INDEX(TEMPLATE_DATA_POINT_FHD,B88,MATCH(TEMPLATE_SPHERE,TEMPLATE_SPHERE_LIST_FOR_NOTE,0))</f>
        <v>0</v>
      </c>
      <c r="K88" s="1061">
        <f>INDEX(TEMPLATE_NOTE_POINT_FHD,B88,MATCH(TEMPLATE_SPHERE,TEMPLATE_SPHERE_LIST_FOR_NOTE,0))</f>
        <v>0</v>
      </c>
      <c r="L88" s="900" t="str">
        <f>IF(I88=0,"",I88)</f>
        <v/>
      </c>
      <c r="M88" s="900" t="str">
        <f>IF(J88=0,"",J88)</f>
        <v/>
      </c>
      <c r="N88" s="900" t="str">
        <f>IF(K88=0,"",K88)</f>
        <v/>
      </c>
      <c r="O88" s="1013" t="s">
        <v>155</v>
      </c>
      <c r="P88" s="1013"/>
      <c r="Q88" s="1013"/>
      <c r="R88" s="1013"/>
      <c r="S88" s="1013"/>
      <c r="T88" s="899" t="s">
        <v>799</v>
      </c>
      <c r="U88" s="899"/>
      <c r="V88" s="899"/>
      <c r="W88" s="899"/>
      <c r="X88" s="899"/>
      <c r="Y88" s="1056"/>
      <c r="Z88" s="902"/>
      <c r="AA88" s="905"/>
      <c r="AB88" s="902"/>
      <c r="AC88" s="902"/>
      <c r="AD88" s="902"/>
    </row>
    <row customHeight="1" ht="18">
      <c r="A89" s="901"/>
      <c r="B89" s="955">
        <v>72</v>
      </c>
      <c r="C89" s="899" t="s">
        <v>2335</v>
      </c>
      <c r="D89" s="1023" t="s">
        <v>2332</v>
      </c>
      <c r="E89" s="899" t="s">
        <v>2332</v>
      </c>
      <c r="F89" s="899" t="s">
        <v>2298</v>
      </c>
      <c r="G89" s="899"/>
      <c r="H89" s="947"/>
      <c r="I89" s="1061" t="str">
        <f>INDEX(TEMPLATE_NUMBER_POINT_FHD,B89,MATCH(TEMPLATE_SPHERE,TEMPLATE_SPHERE_LIST_FOR_NOTE,0))</f>
        <v>12</v>
      </c>
      <c r="J89" s="1061" t="str">
        <f>INDEX(TEMPLATE_DATA_POINT_FHD,B89,MATCH(TEMPLATE_SPHERE,TEMPLATE_SPHERE_LIST_FOR_NOTE,0))</f>
        <v>Среднесписочная численность основного производственного персонала</v>
      </c>
      <c r="K89" s="1061">
        <f>INDEX(TEMPLATE_NOTE_POINT_FHD,B89,MATCH(TEMPLATE_SPHERE,TEMPLATE_SPHERE_LIST_FOR_NOTE,0))</f>
        <v>0</v>
      </c>
      <c r="L89" s="900" t="str">
        <f>IF(I89=0,"",I89)</f>
        <v>12</v>
      </c>
      <c r="M89" s="900" t="str">
        <f>IF(J89=0,"",J89)</f>
        <v>Среднесписочная численность основного производственного персонала</v>
      </c>
      <c r="N89" s="900" t="str">
        <f>IF(K89=0,"",K89)</f>
        <v/>
      </c>
      <c r="O89" s="1013" t="s">
        <v>160</v>
      </c>
      <c r="P89" s="1013" t="s">
        <v>155</v>
      </c>
      <c r="Q89" s="1013" t="s">
        <v>155</v>
      </c>
      <c r="R89" s="1013" t="s">
        <v>145</v>
      </c>
      <c r="S89" s="1013"/>
      <c r="T89" s="899" t="s">
        <v>807</v>
      </c>
      <c r="U89" s="899" t="s">
        <v>807</v>
      </c>
      <c r="V89" s="899" t="s">
        <v>807</v>
      </c>
      <c r="W89" s="899" t="s">
        <v>807</v>
      </c>
      <c r="X89" s="899"/>
      <c r="Y89" s="1056"/>
      <c r="Z89" s="902"/>
      <c r="AA89" s="905"/>
      <c r="AB89" s="902"/>
      <c r="AC89" s="902"/>
      <c r="AD89" s="902"/>
    </row>
    <row customHeight="1" ht="27">
      <c r="A90" s="901"/>
      <c r="B90" s="955">
        <v>73</v>
      </c>
      <c r="C90" s="899" t="s">
        <v>2336</v>
      </c>
      <c r="D90" s="1023"/>
      <c r="E90" s="899"/>
      <c r="F90" s="899"/>
      <c r="G90" s="899"/>
      <c r="H90" s="947"/>
      <c r="I90" s="1061">
        <f>INDEX(TEMPLATE_NUMBER_POINT_FHD,B90,MATCH(TEMPLATE_SPHERE,TEMPLATE_SPHERE_LIST_FOR_NOTE,0))</f>
        <v>0</v>
      </c>
      <c r="J90" s="1061">
        <f>INDEX(TEMPLATE_DATA_POINT_FHD,B90,MATCH(TEMPLATE_SPHERE,TEMPLATE_SPHERE_LIST_FOR_NOTE,0))</f>
        <v>0</v>
      </c>
      <c r="K90" s="1061">
        <f>INDEX(TEMPLATE_NOTE_POINT_FHD,B90,MATCH(TEMPLATE_SPHERE,TEMPLATE_SPHERE_LIST_FOR_NOTE,0))</f>
        <v>0</v>
      </c>
      <c r="L90" s="900" t="str">
        <f>IF(I90=0,"",I90)</f>
        <v/>
      </c>
      <c r="M90" s="900" t="str">
        <f>IF(J90=0,"",J90)</f>
        <v/>
      </c>
      <c r="N90" s="900" t="str">
        <f>IF(K90=0,"",K90)</f>
        <v/>
      </c>
      <c r="O90" s="1013" t="s">
        <v>165</v>
      </c>
      <c r="P90" s="1013"/>
      <c r="Q90" s="1013"/>
      <c r="R90" s="1013"/>
      <c r="S90" s="1013"/>
      <c r="T90" s="899" t="s">
        <v>809</v>
      </c>
      <c r="U90" s="899"/>
      <c r="V90" s="899"/>
      <c r="W90" s="899"/>
      <c r="X90" s="899"/>
      <c r="Y90" s="1056"/>
      <c r="Z90" s="902"/>
      <c r="AA90" s="905"/>
      <c r="AB90" s="902"/>
      <c r="AC90" s="902"/>
      <c r="AD90" s="902"/>
    </row>
    <row customHeight="1" ht="18">
      <c r="A91" s="901"/>
      <c r="B91" s="955">
        <v>74</v>
      </c>
      <c r="C91" s="899"/>
      <c r="D91" s="1023" t="s">
        <v>2334</v>
      </c>
      <c r="E91" s="899" t="s">
        <v>2334</v>
      </c>
      <c r="F91" s="899"/>
      <c r="G91" s="899"/>
      <c r="H91" s="947"/>
      <c r="I91" s="1061" t="str">
        <f>INDEX(TEMPLATE_NUMBER_POINT_FHD,B91,MATCH(TEMPLATE_SPHERE,TEMPLATE_SPHERE_LIST_FOR_NOTE,0))</f>
        <v>13</v>
      </c>
      <c r="J91" s="1061" t="str">
        <f>INDEX(TEMPLATE_DATA_POINT_FHD,B91,MATCH(TEMPLATE_SPHERE,TEMPLATE_SPHERE_LIST_FOR_NOTE,0))</f>
        <v>Удельный расход электрической энергии на подачу воды в сеть</v>
      </c>
      <c r="K91" s="1061">
        <f>INDEX(TEMPLATE_NOTE_POINT_FHD,B91,MATCH(TEMPLATE_SPHERE,TEMPLATE_SPHERE_LIST_FOR_NOTE,0))</f>
        <v>0</v>
      </c>
      <c r="L91" s="900" t="str">
        <f>IF(I91=0,"",I91)</f>
        <v>13</v>
      </c>
      <c r="M91" s="900" t="str">
        <f>IF(J91=0,"",J91)</f>
        <v>Удельный расход электрической энергии на подачу воды в сеть</v>
      </c>
      <c r="N91" s="900" t="str">
        <f>IF(K91=0,"",K91)</f>
        <v/>
      </c>
      <c r="O91" s="1013"/>
      <c r="P91" s="1013" t="s">
        <v>160</v>
      </c>
      <c r="Q91" s="1013" t="s">
        <v>160</v>
      </c>
      <c r="R91" s="1013"/>
      <c r="S91" s="1013"/>
      <c r="T91" s="899"/>
      <c r="U91" s="899" t="s">
        <v>2337</v>
      </c>
      <c r="V91" s="899" t="s">
        <v>2337</v>
      </c>
      <c r="W91" s="899"/>
      <c r="X91" s="899"/>
      <c r="Y91" s="1056"/>
      <c r="Z91" s="902"/>
      <c r="AA91" s="905"/>
      <c r="AB91" s="902"/>
      <c r="AC91" s="902"/>
      <c r="AD91" s="902"/>
    </row>
    <row customHeight="1" ht="27">
      <c r="A92" s="901"/>
      <c r="B92" s="955">
        <v>75</v>
      </c>
      <c r="C92" s="899"/>
      <c r="D92" s="1023" t="s">
        <v>2335</v>
      </c>
      <c r="E92" s="899"/>
      <c r="F92" s="899"/>
      <c r="G92" s="899"/>
      <c r="H92" s="947"/>
      <c r="I92" s="1061" t="str">
        <f>INDEX(TEMPLATE_NUMBER_POINT_FHD,B92,MATCH(TEMPLATE_SPHERE,TEMPLATE_SPHERE_LIST_FOR_NOTE,0))</f>
        <v>14</v>
      </c>
      <c r="J92" s="1061" t="str">
        <f>INDEX(TEMPLATE_DATA_POINT_FHD,B92,MATCH(TEMPLATE_SPHERE,TEMPLATE_SPHERE_LIST_FOR_NOTE,0))</f>
        <v>Расход воды на собственные нужды, в том числе:</v>
      </c>
      <c r="K92" s="1061" t="str">
        <f>INDEX(TEMPLATE_NOTE_POINT_FHD,B92,MATCH(TEMPLATE_SPHERE,TEMPLATE_SPHERE_LIST_FOR_NOTE,0))</f>
        <v>Указывается доля общего расхода воды на собственные нужны от объема отпуска воды потребителям.</v>
      </c>
      <c r="L92" s="900" t="str">
        <f>IF(I92=0,"",I92)</f>
        <v>14</v>
      </c>
      <c r="M92" s="900" t="str">
        <f>IF(J92=0,"",J92)</f>
        <v>Расход воды на собственные нужды, в том числе:</v>
      </c>
      <c r="N92" s="900" t="str">
        <f>IF(K92=0,"",K92)</f>
        <v>Указывается доля общего расхода воды на собственные нужны от объема отпуска воды потребителям.</v>
      </c>
      <c r="O92" s="1013"/>
      <c r="P92" s="1013" t="s">
        <v>165</v>
      </c>
      <c r="Q92" s="1013"/>
      <c r="R92" s="1013"/>
      <c r="S92" s="1013"/>
      <c r="T92" s="899"/>
      <c r="U92" s="899" t="s">
        <v>2338</v>
      </c>
      <c r="V92" s="899"/>
      <c r="W92" s="899"/>
      <c r="X92" s="899"/>
      <c r="Y92" s="1056"/>
      <c r="Z92" s="902"/>
      <c r="AA92" s="905" t="s">
        <v>2339</v>
      </c>
      <c r="AB92" s="902"/>
      <c r="AC92" s="902"/>
      <c r="AD92" s="902"/>
    </row>
    <row customHeight="1" ht="27">
      <c r="A93" s="901"/>
      <c r="B93" s="955">
        <v>76</v>
      </c>
      <c r="C93" s="899"/>
      <c r="D93" s="1023"/>
      <c r="E93" s="899"/>
      <c r="F93" s="899"/>
      <c r="G93" s="899"/>
      <c r="H93" s="947"/>
      <c r="I93" s="1061" t="str">
        <f>INDEX(TEMPLATE_NUMBER_POINT_FHD,B93,MATCH(TEMPLATE_SPHERE,TEMPLATE_SPHERE_LIST_FOR_NOTE,0))</f>
        <v>14.1</v>
      </c>
      <c r="J93" s="1061" t="str">
        <f>INDEX(TEMPLATE_DATA_POINT_FHD,B93,MATCH(TEMPLATE_SPHERE,TEMPLATE_SPHERE_LIST_FOR_NOTE,0))</f>
        <v>Расход воды на хозяйственно-бытовые нужды</v>
      </c>
      <c r="K93" s="1061"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900" t="str">
        <f>IF(I93=0,"",I93)</f>
        <v>14.1</v>
      </c>
      <c r="M93" s="900" t="str">
        <f>IF(J93=0,"",J93)</f>
        <v>Расход воды на хозяйственно-бытовые нужды</v>
      </c>
      <c r="N93" s="900" t="str">
        <f>IF(K93=0,"",K93)</f>
        <v>Указывается доля расхода воды на хозяйственно-бытовые нужны от объема отпуска воды потребителям.</v>
      </c>
      <c r="O93" s="1013"/>
      <c r="P93" s="1013" t="s">
        <v>2245</v>
      </c>
      <c r="Q93" s="1013"/>
      <c r="R93" s="1013"/>
      <c r="S93" s="1013"/>
      <c r="T93" s="899"/>
      <c r="U93" s="899" t="s">
        <v>2340</v>
      </c>
      <c r="V93" s="899"/>
      <c r="W93" s="899"/>
      <c r="X93" s="899"/>
      <c r="Y93" s="1056"/>
      <c r="Z93" s="902"/>
      <c r="AA93" s="905" t="s">
        <v>2341</v>
      </c>
      <c r="AB93" s="902"/>
      <c r="AC93" s="902"/>
      <c r="AD93" s="902"/>
    </row>
    <row customHeight="1" ht="45">
      <c r="A94" s="901"/>
      <c r="B94" s="955">
        <v>77</v>
      </c>
      <c r="C94" s="899"/>
      <c r="D94" s="1023" t="s">
        <v>2336</v>
      </c>
      <c r="E94" s="899"/>
      <c r="F94" s="899"/>
      <c r="G94" s="899"/>
      <c r="H94" s="947"/>
      <c r="I94" s="1061" t="str">
        <f>INDEX(TEMPLATE_NUMBER_POINT_FHD,B94,MATCH(TEMPLATE_SPHERE,TEMPLATE_SPHERE_LIST_FOR_NOTE,0))</f>
        <v>15</v>
      </c>
      <c r="J94" s="1061" t="str">
        <f>INDEX(TEMPLATE_DATA_POINT_FHD,B94,MATCH(TEMPLATE_SPHERE,TEMPLATE_SPHERE_LIST_FOR_NOTE,0))</f>
        <v>Показатель использования производственных объектов (по объему перекачки), в том числе:</v>
      </c>
      <c r="K94" s="1061"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900" t="str">
        <f>IF(I94=0,"",I94)</f>
        <v>15</v>
      </c>
      <c r="M94" s="900" t="str">
        <f>IF(J94=0,"",J94)</f>
        <v>Показатель использования производственных объектов (по объему перекачки), в том числе:</v>
      </c>
      <c r="N94" s="900"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013"/>
      <c r="P94" s="1013" t="s">
        <v>170</v>
      </c>
      <c r="Q94" s="1013"/>
      <c r="R94" s="1013"/>
      <c r="S94" s="1013"/>
      <c r="T94" s="899"/>
      <c r="U94" s="899" t="s">
        <v>2342</v>
      </c>
      <c r="V94" s="899"/>
      <c r="W94" s="899"/>
      <c r="X94" s="899"/>
      <c r="Y94" s="1056"/>
      <c r="Z94" s="902"/>
      <c r="AA94" s="905" t="s">
        <v>2343</v>
      </c>
      <c r="AB94" s="902"/>
      <c r="AC94" s="902"/>
      <c r="AD94" s="902"/>
    </row>
    <row customHeight="1" ht="99">
      <c r="A95" s="901"/>
      <c r="B95" s="955">
        <v>78</v>
      </c>
      <c r="C95" s="899" t="s">
        <v>2344</v>
      </c>
      <c r="D95" s="1023"/>
      <c r="E95" s="899"/>
      <c r="F95" s="899"/>
      <c r="G95" s="899"/>
      <c r="H95" s="947"/>
      <c r="I95" s="1061">
        <f>INDEX(TEMPLATE_NUMBER_POINT_FHD,B95,MATCH(TEMPLATE_SPHERE,TEMPLATE_SPHERE_LIST_FOR_NOTE,0))</f>
        <v>0</v>
      </c>
      <c r="J95" s="1061">
        <f>INDEX(TEMPLATE_DATA_POINT_FHD,B95,MATCH(TEMPLATE_SPHERE,TEMPLATE_SPHERE_LIST_FOR_NOTE,0))</f>
        <v>0</v>
      </c>
      <c r="K95" s="1061">
        <f>INDEX(TEMPLATE_NOTE_POINT_FHD,B95,MATCH(TEMPLATE_SPHERE,TEMPLATE_SPHERE_LIST_FOR_NOTE,0))</f>
        <v>0</v>
      </c>
      <c r="L95" s="900" t="str">
        <f>IF(I95=0,"",I95)</f>
        <v/>
      </c>
      <c r="M95" s="900" t="str">
        <f>IF(J95=0,"",J95)</f>
        <v/>
      </c>
      <c r="N95" s="900" t="str">
        <f>IF(K95=0,"",K95)</f>
        <v/>
      </c>
      <c r="O95" s="1013" t="s">
        <v>170</v>
      </c>
      <c r="P95" s="1013"/>
      <c r="Q95" s="1013"/>
      <c r="R95" s="1013"/>
      <c r="S95" s="1013"/>
      <c r="T95" s="899" t="s">
        <v>2345</v>
      </c>
      <c r="U95" s="899"/>
      <c r="V95" s="899"/>
      <c r="W95" s="899"/>
      <c r="X95" s="899"/>
      <c r="Y95" s="1056"/>
      <c r="Z95" s="902"/>
      <c r="AA95" s="905"/>
      <c r="AB95" s="902"/>
      <c r="AC95" s="902"/>
      <c r="AD95" s="902"/>
    </row>
    <row customHeight="1" ht="99">
      <c r="A96" s="901"/>
      <c r="B96" s="955">
        <v>79</v>
      </c>
      <c r="C96" s="899" t="s">
        <v>1288</v>
      </c>
      <c r="D96" s="1023"/>
      <c r="E96" s="899"/>
      <c r="F96" s="899"/>
      <c r="G96" s="899"/>
      <c r="H96" s="947"/>
      <c r="I96" s="1061">
        <f>INDEX(TEMPLATE_NUMBER_POINT_FHD,B96,MATCH(TEMPLATE_SPHERE,TEMPLATE_SPHERE_LIST_FOR_NOTE,0))</f>
        <v>0</v>
      </c>
      <c r="J96" s="1061">
        <f>INDEX(TEMPLATE_DATA_POINT_FHD,B96,MATCH(TEMPLATE_SPHERE,TEMPLATE_SPHERE_LIST_FOR_NOTE,0))</f>
        <v>0</v>
      </c>
      <c r="K96" s="1061">
        <f>INDEX(TEMPLATE_NOTE_POINT_FHD,B96,MATCH(TEMPLATE_SPHERE,TEMPLATE_SPHERE_LIST_FOR_NOTE,0))</f>
        <v>0</v>
      </c>
      <c r="L96" s="900" t="str">
        <f>IF(I96=0,"",I96)</f>
        <v/>
      </c>
      <c r="M96" s="900" t="str">
        <f>IF(J96=0,"",J96)</f>
        <v/>
      </c>
      <c r="N96" s="900" t="str">
        <f>IF(K96=0,"",K96)</f>
        <v/>
      </c>
      <c r="O96" s="1013" t="s">
        <v>175</v>
      </c>
      <c r="P96" s="1013"/>
      <c r="Q96" s="1013"/>
      <c r="R96" s="1013"/>
      <c r="S96" s="1013"/>
      <c r="T96" s="899" t="s">
        <v>2346</v>
      </c>
      <c r="U96" s="899"/>
      <c r="V96" s="899"/>
      <c r="W96" s="899"/>
      <c r="X96" s="899"/>
      <c r="Y96" s="1056"/>
      <c r="Z96" s="902" t="s">
        <v>2347</v>
      </c>
      <c r="AA96" s="905"/>
      <c r="AB96" s="902"/>
      <c r="AC96" s="902"/>
      <c r="AD96" s="902"/>
    </row>
    <row customHeight="1" ht="63">
      <c r="A97" s="901"/>
      <c r="B97" s="955">
        <v>80</v>
      </c>
      <c r="C97" s="899" t="s">
        <v>2348</v>
      </c>
      <c r="D97" s="1023"/>
      <c r="E97" s="899"/>
      <c r="F97" s="899"/>
      <c r="G97" s="899"/>
      <c r="H97" s="947"/>
      <c r="I97" s="1061">
        <f>INDEX(TEMPLATE_NUMBER_POINT_FHD,B97,MATCH(TEMPLATE_SPHERE,TEMPLATE_SPHERE_LIST_FOR_NOTE,0))</f>
        <v>0</v>
      </c>
      <c r="J97" s="1061">
        <f>INDEX(TEMPLATE_DATA_POINT_FHD,B97,MATCH(TEMPLATE_SPHERE,TEMPLATE_SPHERE_LIST_FOR_NOTE,0))</f>
        <v>0</v>
      </c>
      <c r="K97" s="1061">
        <f>INDEX(TEMPLATE_NOTE_POINT_FHD,B97,MATCH(TEMPLATE_SPHERE,TEMPLATE_SPHERE_LIST_FOR_NOTE,0))</f>
        <v>0</v>
      </c>
      <c r="L97" s="900" t="str">
        <f>IF(I97=0,"",I97)</f>
        <v/>
      </c>
      <c r="M97" s="900" t="str">
        <f>IF(J97=0,"",J97)</f>
        <v/>
      </c>
      <c r="N97" s="900" t="str">
        <f>IF(K97=0,"",K97)</f>
        <v/>
      </c>
      <c r="O97" s="1013" t="s">
        <v>180</v>
      </c>
      <c r="P97" s="1013"/>
      <c r="Q97" s="1013"/>
      <c r="R97" s="1013"/>
      <c r="S97" s="1013"/>
      <c r="T97" s="899" t="s">
        <v>2349</v>
      </c>
      <c r="U97" s="899"/>
      <c r="V97" s="899"/>
      <c r="W97" s="899"/>
      <c r="X97" s="899"/>
      <c r="Y97" s="1056"/>
      <c r="Z97" s="902" t="s">
        <v>2350</v>
      </c>
      <c r="AA97" s="905"/>
      <c r="AB97" s="902"/>
      <c r="AC97" s="902"/>
      <c r="AD97" s="902"/>
    </row>
    <row customHeight="1" ht="63">
      <c r="A98" s="901"/>
      <c r="B98" s="955">
        <v>81</v>
      </c>
      <c r="C98" s="899" t="s">
        <v>2351</v>
      </c>
      <c r="D98" s="1023"/>
      <c r="E98" s="899"/>
      <c r="F98" s="899"/>
      <c r="G98" s="899"/>
      <c r="H98" s="947"/>
      <c r="I98" s="1061">
        <f>INDEX(TEMPLATE_NUMBER_POINT_FHD,B98,MATCH(TEMPLATE_SPHERE,TEMPLATE_SPHERE_LIST_FOR_NOTE,0))</f>
        <v>0</v>
      </c>
      <c r="J98" s="1061">
        <f>INDEX(TEMPLATE_DATA_POINT_FHD,B98,MATCH(TEMPLATE_SPHERE,TEMPLATE_SPHERE_LIST_FOR_NOTE,0))</f>
        <v>0</v>
      </c>
      <c r="K98" s="1061">
        <f>INDEX(TEMPLATE_NOTE_POINT_FHD,B98,MATCH(TEMPLATE_SPHERE,TEMPLATE_SPHERE_LIST_FOR_NOTE,0))</f>
        <v>0</v>
      </c>
      <c r="L98" s="900" t="str">
        <f>IF(I98=0,"",I98)</f>
        <v/>
      </c>
      <c r="M98" s="900" t="str">
        <f>IF(J98=0,"",J98)</f>
        <v/>
      </c>
      <c r="N98" s="900" t="str">
        <f>IF(K98=0,"",K98)</f>
        <v/>
      </c>
      <c r="O98" s="1013" t="s">
        <v>1630</v>
      </c>
      <c r="P98" s="1013"/>
      <c r="Q98" s="1013"/>
      <c r="R98" s="1013"/>
      <c r="S98" s="1013"/>
      <c r="T98" s="899" t="s">
        <v>2352</v>
      </c>
      <c r="U98" s="899"/>
      <c r="V98" s="899"/>
      <c r="W98" s="899"/>
      <c r="X98" s="899"/>
      <c r="Y98" s="1056"/>
      <c r="Z98" s="902" t="s">
        <v>2350</v>
      </c>
      <c r="AA98" s="905"/>
      <c r="AB98" s="902"/>
      <c r="AC98" s="902"/>
      <c r="AD98" s="902"/>
    </row>
    <row customHeight="1" ht="90">
      <c r="A99" s="901"/>
      <c r="B99" s="955">
        <v>82</v>
      </c>
      <c r="C99" s="899" t="s">
        <v>2353</v>
      </c>
      <c r="D99" s="1023"/>
      <c r="E99" s="899"/>
      <c r="F99" s="899"/>
      <c r="G99" s="899"/>
      <c r="H99" s="947"/>
      <c r="I99" s="1061">
        <f>INDEX(TEMPLATE_NUMBER_POINT_FHD,B99,MATCH(TEMPLATE_SPHERE,TEMPLATE_SPHERE_LIST_FOR_NOTE,0))</f>
        <v>0</v>
      </c>
      <c r="J99" s="1061">
        <f>INDEX(TEMPLATE_DATA_POINT_FHD,B99,MATCH(TEMPLATE_SPHERE,TEMPLATE_SPHERE_LIST_FOR_NOTE,0))</f>
        <v>0</v>
      </c>
      <c r="K99" s="1061">
        <f>INDEX(TEMPLATE_NOTE_POINT_FHD,B99,MATCH(TEMPLATE_SPHERE,TEMPLATE_SPHERE_LIST_FOR_NOTE,0))</f>
        <v>0</v>
      </c>
      <c r="L99" s="900" t="str">
        <f>IF(I99=0,"",I99)</f>
        <v/>
      </c>
      <c r="M99" s="900" t="str">
        <f>IF(J99=0,"",J99)</f>
        <v/>
      </c>
      <c r="N99" s="900" t="str">
        <f>IF(K99=0,"",K99)</f>
        <v/>
      </c>
      <c r="O99" s="1013" t="s">
        <v>1642</v>
      </c>
      <c r="P99" s="1013"/>
      <c r="Q99" s="1013"/>
      <c r="R99" s="1013"/>
      <c r="S99" s="1013"/>
      <c r="T99" s="899" t="s">
        <v>2354</v>
      </c>
      <c r="U99" s="899"/>
      <c r="V99" s="899"/>
      <c r="W99" s="899"/>
      <c r="X99" s="899"/>
      <c r="Y99" s="1056"/>
      <c r="Z99" s="902" t="s">
        <v>764</v>
      </c>
      <c r="AA99" s="905"/>
      <c r="AB99" s="902"/>
      <c r="AC99" s="902"/>
      <c r="AD99" s="902"/>
    </row>
    <row customHeight="1" ht="27">
      <c r="A100" s="901"/>
      <c r="B100" s="955">
        <v>83</v>
      </c>
      <c r="C100" s="899"/>
      <c r="D100" s="1023"/>
      <c r="E100" s="899"/>
      <c r="F100" s="899"/>
      <c r="G100" s="899"/>
      <c r="H100" s="947"/>
      <c r="I100" s="1061">
        <f>INDEX(TEMPLATE_NUMBER_POINT_FHD,B100,MATCH(TEMPLATE_SPHERE,TEMPLATE_SPHERE_LIST_FOR_NOTE,0))</f>
        <v>0</v>
      </c>
      <c r="J100" s="1061">
        <f>INDEX(TEMPLATE_DATA_POINT_FHD,B100,MATCH(TEMPLATE_SPHERE,TEMPLATE_SPHERE_LIST_FOR_NOTE,0))</f>
        <v>0</v>
      </c>
      <c r="K100" s="1061">
        <f>INDEX(TEMPLATE_NOTE_POINT_FHD,B100,MATCH(TEMPLATE_SPHERE,TEMPLATE_SPHERE_LIST_FOR_NOTE,0))</f>
        <v>0</v>
      </c>
      <c r="L100" s="900" t="str">
        <f>IF(I100=0,"",I100)</f>
        <v/>
      </c>
      <c r="M100" s="900" t="str">
        <f>IF(J100=0,"",J100)</f>
        <v/>
      </c>
      <c r="N100" s="900" t="str">
        <f>IF(K100=0,"",K100)</f>
        <v/>
      </c>
      <c r="O100" s="1013" t="s">
        <v>2355</v>
      </c>
      <c r="P100" s="1013"/>
      <c r="Q100" s="1013"/>
      <c r="R100" s="1013"/>
      <c r="S100" s="1013"/>
      <c r="T100" s="899" t="s">
        <v>2356</v>
      </c>
      <c r="U100" s="899"/>
      <c r="V100" s="899"/>
      <c r="W100" s="899"/>
      <c r="X100" s="899"/>
      <c r="Y100" s="1056"/>
      <c r="Z100" s="902" t="s">
        <v>764</v>
      </c>
      <c r="AA100" s="905"/>
      <c r="AB100" s="902"/>
      <c r="AC100" s="902"/>
      <c r="AD100" s="902"/>
    </row>
    <row customHeight="1" ht="27">
      <c r="A101" s="901"/>
      <c r="B101" s="955">
        <v>84</v>
      </c>
      <c r="C101" s="899"/>
      <c r="D101" s="1023"/>
      <c r="E101" s="899"/>
      <c r="F101" s="899"/>
      <c r="G101" s="899"/>
      <c r="H101" s="947"/>
      <c r="I101" s="1061">
        <f>INDEX(TEMPLATE_NUMBER_POINT_FHD,B101,MATCH(TEMPLATE_SPHERE,TEMPLATE_SPHERE_LIST_FOR_NOTE,0))</f>
        <v>0</v>
      </c>
      <c r="J101" s="1061">
        <f>INDEX(TEMPLATE_DATA_POINT_FHD,B101,MATCH(TEMPLATE_SPHERE,TEMPLATE_SPHERE_LIST_FOR_NOTE,0))</f>
        <v>0</v>
      </c>
      <c r="K101" s="1061">
        <f>INDEX(TEMPLATE_NOTE_POINT_FHD,B101,MATCH(TEMPLATE_SPHERE,TEMPLATE_SPHERE_LIST_FOR_NOTE,0))</f>
        <v>0</v>
      </c>
      <c r="L101" s="900" t="str">
        <f>IF(I101=0,"",I101)</f>
        <v/>
      </c>
      <c r="M101" s="900" t="str">
        <f>IF(J101=0,"",J101)</f>
        <v/>
      </c>
      <c r="N101" s="900" t="str">
        <f>IF(K101=0,"",K101)</f>
        <v/>
      </c>
      <c r="O101" s="1013" t="s">
        <v>2357</v>
      </c>
      <c r="P101" s="1013"/>
      <c r="Q101" s="1013"/>
      <c r="R101" s="1013"/>
      <c r="S101" s="1013"/>
      <c r="T101" s="899" t="s">
        <v>2358</v>
      </c>
      <c r="U101" s="899"/>
      <c r="V101" s="899"/>
      <c r="W101" s="899"/>
      <c r="X101" s="899"/>
      <c r="Y101" s="1056"/>
      <c r="Z101" s="902" t="s">
        <v>764</v>
      </c>
      <c r="AA101" s="905"/>
      <c r="AB101" s="902"/>
      <c r="AC101" s="902"/>
      <c r="AD101" s="902"/>
    </row>
    <row customHeight="1" ht="9">
      <c r="A102" s="901"/>
      <c r="B102" s="901"/>
      <c r="C102" s="899"/>
      <c r="D102" s="899"/>
      <c r="E102" s="899"/>
      <c r="F102" s="899"/>
      <c r="G102" s="899"/>
      <c r="H102" s="947"/>
      <c r="I102" s="947"/>
      <c r="J102" s="947"/>
      <c r="K102" s="947"/>
      <c r="L102" s="947"/>
      <c r="M102" s="899"/>
      <c r="N102" s="946"/>
      <c r="O102" s="1013"/>
      <c r="P102" s="1013"/>
      <c r="Q102" s="1013"/>
      <c r="R102" s="1013"/>
      <c r="S102" s="899"/>
      <c r="T102" s="899"/>
      <c r="U102" s="899"/>
      <c r="V102" s="899"/>
      <c r="W102" s="899"/>
      <c r="X102" s="899"/>
      <c r="Y102" s="1056"/>
      <c r="Z102" s="902"/>
      <c r="AA102" s="905"/>
      <c r="AB102" s="902"/>
      <c r="AC102" s="902"/>
      <c r="AD102" s="902"/>
    </row>
    <row customHeight="1" ht="9">
      <c r="A103" s="901"/>
      <c r="B103" s="901"/>
      <c r="C103" s="899"/>
      <c r="D103" s="899"/>
      <c r="E103" s="899"/>
      <c r="F103" s="899"/>
      <c r="G103" s="899"/>
      <c r="H103" s="947"/>
      <c r="I103" s="947"/>
      <c r="J103" s="947"/>
      <c r="K103" s="947"/>
      <c r="L103" s="947"/>
      <c r="M103" s="899"/>
      <c r="N103" s="946"/>
      <c r="O103" s="1013"/>
      <c r="P103" s="1013"/>
      <c r="Q103" s="1013"/>
      <c r="R103" s="1013"/>
      <c r="S103" s="899"/>
      <c r="T103" s="899"/>
      <c r="U103" s="899"/>
      <c r="V103" s="899"/>
      <c r="W103" s="899"/>
      <c r="X103" s="899"/>
      <c r="Y103" s="1056"/>
      <c r="Z103" s="902"/>
      <c r="AA103" s="905"/>
      <c r="AB103" s="902"/>
      <c r="AC103" s="902"/>
      <c r="AD103" s="902"/>
    </row>
    <row customHeight="1" ht="9">
      <c r="A104" s="901"/>
      <c r="B104" s="901"/>
      <c r="C104" s="899"/>
      <c r="D104" s="899"/>
      <c r="E104" s="899"/>
      <c r="F104" s="899"/>
      <c r="G104" s="899"/>
      <c r="H104" s="947"/>
      <c r="I104" s="947"/>
      <c r="J104" s="947"/>
      <c r="K104" s="947"/>
      <c r="L104" s="947"/>
      <c r="M104" s="899"/>
      <c r="N104" s="946"/>
      <c r="O104" s="1013"/>
      <c r="P104" s="1013"/>
      <c r="Q104" s="1013"/>
      <c r="R104" s="1013"/>
      <c r="S104" s="899"/>
      <c r="T104" s="899"/>
      <c r="U104" s="899"/>
      <c r="V104" s="899"/>
      <c r="W104" s="899"/>
      <c r="X104" s="899"/>
      <c r="Y104" s="1056"/>
      <c r="Z104" s="902"/>
      <c r="AA104" s="905"/>
      <c r="AB104" s="902"/>
      <c r="AC104" s="902"/>
      <c r="AD104" s="902"/>
    </row>
    <row customHeight="1" ht="9">
      <c r="A105" s="901"/>
      <c r="B105" s="901"/>
      <c r="C105" s="899"/>
      <c r="D105" s="899"/>
      <c r="E105" s="899"/>
      <c r="F105" s="899"/>
      <c r="G105" s="899"/>
      <c r="H105" s="947"/>
      <c r="I105" s="947"/>
      <c r="J105" s="947"/>
      <c r="K105" s="947"/>
      <c r="L105" s="947"/>
      <c r="M105" s="899"/>
      <c r="N105" s="946"/>
      <c r="O105" s="1013"/>
      <c r="P105" s="1013"/>
      <c r="Q105" s="1013"/>
      <c r="R105" s="1013"/>
      <c r="S105" s="899"/>
      <c r="T105" s="899"/>
      <c r="U105" s="899"/>
      <c r="V105" s="899"/>
      <c r="W105" s="899"/>
      <c r="X105" s="899"/>
      <c r="Y105" s="1056"/>
      <c r="Z105" s="902"/>
      <c r="AA105" s="905"/>
      <c r="AB105" s="902"/>
      <c r="AC105" s="902"/>
      <c r="AD105" s="902"/>
    </row>
    <row customHeight="1" ht="9">
      <c r="A106" s="901"/>
      <c r="B106" s="901"/>
      <c r="C106" s="899"/>
      <c r="D106" s="899"/>
      <c r="E106" s="899"/>
      <c r="F106" s="899"/>
      <c r="G106" s="899"/>
      <c r="H106" s="947"/>
      <c r="I106" s="947"/>
      <c r="J106" s="947"/>
      <c r="K106" s="947"/>
      <c r="L106" s="947"/>
      <c r="M106" s="899"/>
      <c r="N106" s="946"/>
      <c r="O106" s="1013"/>
      <c r="P106" s="1013"/>
      <c r="Q106" s="1013"/>
      <c r="R106" s="1013"/>
      <c r="S106" s="899"/>
      <c r="T106" s="899"/>
      <c r="U106" s="899"/>
      <c r="V106" s="899"/>
      <c r="W106" s="899"/>
      <c r="X106" s="899"/>
      <c r="Y106" s="1056"/>
      <c r="Z106" s="902"/>
      <c r="AA106" s="905"/>
      <c r="AB106" s="902"/>
      <c r="AC106" s="902"/>
      <c r="AD106" s="902"/>
    </row>
    <row customHeight="1" ht="9">
      <c r="A107" s="901"/>
      <c r="B107" s="901"/>
      <c r="C107" s="899"/>
      <c r="D107" s="899"/>
      <c r="E107" s="899"/>
      <c r="F107" s="899"/>
      <c r="G107" s="899"/>
      <c r="H107" s="947"/>
      <c r="I107" s="947"/>
      <c r="J107" s="947"/>
      <c r="K107" s="947"/>
      <c r="L107" s="947"/>
      <c r="M107" s="899"/>
      <c r="N107" s="946"/>
      <c r="O107" s="1013"/>
      <c r="P107" s="1013"/>
      <c r="Q107" s="1013"/>
      <c r="R107" s="1013"/>
      <c r="S107" s="899"/>
      <c r="T107" s="899"/>
      <c r="U107" s="899"/>
      <c r="V107" s="899"/>
      <c r="W107" s="899"/>
      <c r="X107" s="899"/>
      <c r="Y107" s="1056"/>
      <c r="Z107" s="902"/>
      <c r="AA107" s="905"/>
      <c r="AB107" s="902"/>
      <c r="AC107" s="902"/>
      <c r="AD107" s="902"/>
    </row>
    <row customHeight="1" ht="9">
      <c r="A108" s="901"/>
      <c r="B108" s="901"/>
      <c r="C108" s="899"/>
      <c r="D108" s="899"/>
      <c r="E108" s="899"/>
      <c r="F108" s="899"/>
      <c r="G108" s="899"/>
      <c r="H108" s="947"/>
      <c r="I108" s="947"/>
      <c r="J108" s="947"/>
      <c r="K108" s="947"/>
      <c r="L108" s="947"/>
      <c r="M108" s="899"/>
      <c r="N108" s="946"/>
      <c r="O108" s="1013"/>
      <c r="P108" s="1013"/>
      <c r="Q108" s="1013"/>
      <c r="R108" s="1013"/>
      <c r="S108" s="899"/>
      <c r="T108" s="899"/>
      <c r="U108" s="899"/>
      <c r="V108" s="899"/>
      <c r="W108" s="899"/>
      <c r="X108" s="899"/>
      <c r="Y108" s="1056"/>
      <c r="Z108" s="902"/>
      <c r="AA108" s="905"/>
      <c r="AB108" s="902"/>
      <c r="AC108" s="902"/>
      <c r="AD108" s="902"/>
    </row>
    <row customHeight="1" ht="9">
      <c r="A109" s="901"/>
      <c r="B109" s="901"/>
      <c r="C109" s="899"/>
      <c r="D109" s="899"/>
      <c r="E109" s="899"/>
      <c r="F109" s="899"/>
      <c r="G109" s="899"/>
      <c r="H109" s="947"/>
      <c r="I109" s="947"/>
      <c r="J109" s="947"/>
      <c r="K109" s="947"/>
      <c r="L109" s="947"/>
      <c r="M109" s="899"/>
      <c r="N109" s="946"/>
      <c r="O109" s="1013"/>
      <c r="P109" s="1013"/>
      <c r="Q109" s="1013"/>
      <c r="R109" s="1013"/>
      <c r="S109" s="899"/>
      <c r="T109" s="899"/>
      <c r="U109" s="899"/>
      <c r="V109" s="899"/>
      <c r="W109" s="899"/>
      <c r="X109" s="899"/>
      <c r="Y109" s="1056"/>
      <c r="Z109" s="902"/>
      <c r="AA109" s="905"/>
      <c r="AB109" s="902"/>
      <c r="AC109" s="902"/>
      <c r="AD109" s="902"/>
    </row>
    <row customHeight="1" ht="9">
      <c r="A110" s="901"/>
      <c r="B110" s="901"/>
      <c r="C110" s="899"/>
      <c r="D110" s="899"/>
      <c r="E110" s="899"/>
      <c r="F110" s="899"/>
      <c r="G110" s="899"/>
      <c r="H110" s="947"/>
      <c r="I110" s="947"/>
      <c r="J110" s="947"/>
      <c r="K110" s="947"/>
      <c r="L110" s="947"/>
      <c r="M110" s="899"/>
      <c r="N110" s="946"/>
      <c r="O110" s="1013"/>
      <c r="P110" s="1013"/>
      <c r="Q110" s="1013"/>
      <c r="R110" s="1013"/>
      <c r="S110" s="899"/>
      <c r="T110" s="899"/>
      <c r="U110" s="899"/>
      <c r="V110" s="899"/>
      <c r="W110" s="899"/>
      <c r="X110" s="899"/>
      <c r="Y110" s="1056"/>
      <c r="Z110" s="902"/>
      <c r="AA110" s="905"/>
      <c r="AB110" s="902"/>
      <c r="AC110" s="902"/>
      <c r="AD110" s="902"/>
    </row>
    <row customHeight="1" ht="9">
      <c r="A111" s="901"/>
      <c r="B111" s="901"/>
      <c r="C111" s="899"/>
      <c r="D111" s="899"/>
      <c r="E111" s="899"/>
      <c r="F111" s="899"/>
      <c r="G111" s="899"/>
      <c r="H111" s="947"/>
      <c r="I111" s="947"/>
      <c r="J111" s="947"/>
      <c r="K111" s="947"/>
      <c r="L111" s="947"/>
      <c r="M111" s="899"/>
      <c r="N111" s="946"/>
      <c r="O111" s="1013"/>
      <c r="P111" s="1013"/>
      <c r="Q111" s="1013"/>
      <c r="R111" s="1013"/>
      <c r="S111" s="899"/>
      <c r="T111" s="899"/>
      <c r="U111" s="899"/>
      <c r="V111" s="899"/>
      <c r="W111" s="899"/>
      <c r="X111" s="899"/>
      <c r="Y111" s="1056"/>
      <c r="Z111" s="902"/>
      <c r="AA111" s="905"/>
      <c r="AB111" s="902"/>
      <c r="AC111" s="902"/>
      <c r="AD111" s="902"/>
    </row>
    <row customHeight="1" ht="9">
      <c r="A112" s="901"/>
      <c r="B112" s="901"/>
      <c r="C112" s="899"/>
      <c r="D112" s="899"/>
      <c r="E112" s="899"/>
      <c r="F112" s="899"/>
      <c r="G112" s="899"/>
      <c r="H112" s="947"/>
      <c r="I112" s="947"/>
      <c r="J112" s="947"/>
      <c r="K112" s="947"/>
      <c r="L112" s="947"/>
      <c r="M112" s="899"/>
      <c r="N112" s="946"/>
      <c r="O112" s="1013"/>
      <c r="P112" s="1013"/>
      <c r="Q112" s="1013"/>
      <c r="R112" s="1013"/>
      <c r="S112" s="899"/>
      <c r="T112" s="899"/>
      <c r="U112" s="899"/>
      <c r="V112" s="899"/>
      <c r="W112" s="899"/>
      <c r="X112" s="899"/>
      <c r="Y112" s="1056"/>
      <c r="Z112" s="902"/>
      <c r="AA112" s="905"/>
      <c r="AB112" s="902"/>
      <c r="AC112" s="902"/>
      <c r="AD112" s="902"/>
    </row>
    <row customHeight="1" ht="9">
      <c r="A113" s="901"/>
      <c r="B113" s="901"/>
      <c r="C113" s="899"/>
      <c r="D113" s="899"/>
      <c r="E113" s="899"/>
      <c r="F113" s="899"/>
      <c r="G113" s="899"/>
      <c r="H113" s="947"/>
      <c r="I113" s="947"/>
      <c r="J113" s="947"/>
      <c r="K113" s="947"/>
      <c r="L113" s="947"/>
      <c r="M113" s="899"/>
      <c r="N113" s="946"/>
      <c r="O113" s="1013"/>
      <c r="P113" s="1013"/>
      <c r="Q113" s="1013"/>
      <c r="R113" s="1013"/>
      <c r="S113" s="899"/>
      <c r="T113" s="899"/>
      <c r="U113" s="899"/>
      <c r="V113" s="899"/>
      <c r="W113" s="899"/>
      <c r="X113" s="899"/>
      <c r="Y113" s="1056"/>
      <c r="Z113" s="902"/>
      <c r="AA113" s="905"/>
      <c r="AB113" s="902"/>
      <c r="AC113" s="902"/>
      <c r="AD113" s="902"/>
    </row>
    <row customHeight="1" ht="9">
      <c r="A114" s="901"/>
      <c r="B114" s="901"/>
      <c r="C114" s="899"/>
      <c r="D114" s="899"/>
      <c r="E114" s="899"/>
      <c r="F114" s="899"/>
      <c r="G114" s="899"/>
      <c r="H114" s="947"/>
      <c r="I114" s="947"/>
      <c r="J114" s="947"/>
      <c r="K114" s="947"/>
      <c r="L114" s="947"/>
      <c r="M114" s="899"/>
      <c r="N114" s="946"/>
      <c r="O114" s="1013"/>
      <c r="P114" s="1013"/>
      <c r="Q114" s="1013"/>
      <c r="R114" s="1013"/>
      <c r="S114" s="899"/>
      <c r="T114" s="899"/>
      <c r="U114" s="899"/>
      <c r="V114" s="899"/>
      <c r="W114" s="899"/>
      <c r="X114" s="899"/>
      <c r="Y114" s="1056"/>
      <c r="Z114" s="902"/>
      <c r="AA114" s="905"/>
      <c r="AB114" s="902"/>
      <c r="AC114" s="902"/>
      <c r="AD114" s="902"/>
    </row>
    <row customHeight="1" ht="9">
      <c r="A115" s="901"/>
      <c r="B115" s="901"/>
      <c r="C115" s="899"/>
      <c r="D115" s="899"/>
      <c r="E115" s="899"/>
      <c r="F115" s="899"/>
      <c r="G115" s="899"/>
      <c r="H115" s="947"/>
      <c r="I115" s="947"/>
      <c r="J115" s="947"/>
      <c r="K115" s="947"/>
      <c r="L115" s="947"/>
      <c r="M115" s="899"/>
      <c r="N115" s="946"/>
      <c r="O115" s="1013"/>
      <c r="P115" s="1013"/>
      <c r="Q115" s="1013"/>
      <c r="R115" s="1013"/>
      <c r="S115" s="899"/>
      <c r="T115" s="899"/>
      <c r="U115" s="899"/>
      <c r="V115" s="899"/>
      <c r="W115" s="899"/>
      <c r="X115" s="899"/>
      <c r="Y115" s="1056"/>
      <c r="Z115" s="902"/>
      <c r="AA115" s="905"/>
      <c r="AB115" s="902"/>
      <c r="AC115" s="902"/>
      <c r="AD115" s="902"/>
    </row>
    <row customHeight="1" ht="9">
      <c r="A116" s="901"/>
      <c r="B116" s="901"/>
      <c r="C116" s="899"/>
      <c r="D116" s="899"/>
      <c r="E116" s="899"/>
      <c r="F116" s="899"/>
      <c r="G116" s="899"/>
      <c r="H116" s="947"/>
      <c r="I116" s="947"/>
      <c r="J116" s="947"/>
      <c r="K116" s="947"/>
      <c r="L116" s="947"/>
      <c r="M116" s="899"/>
      <c r="N116" s="946"/>
      <c r="O116" s="1013"/>
      <c r="P116" s="1013"/>
      <c r="Q116" s="1013"/>
      <c r="R116" s="1013"/>
      <c r="S116" s="899"/>
      <c r="T116" s="899"/>
      <c r="U116" s="899"/>
      <c r="V116" s="899"/>
      <c r="W116" s="899"/>
      <c r="X116" s="899"/>
      <c r="Y116" s="1056"/>
      <c r="Z116" s="902"/>
      <c r="AA116" s="905"/>
      <c r="AB116" s="902"/>
      <c r="AC116" s="902"/>
      <c r="AD116" s="902"/>
    </row>
    <row customHeight="1" ht="9">
      <c r="A117" s="901"/>
      <c r="B117" s="901"/>
      <c r="C117" s="899"/>
      <c r="D117" s="899"/>
      <c r="E117" s="899"/>
      <c r="F117" s="899"/>
      <c r="G117" s="899"/>
      <c r="H117" s="947"/>
      <c r="I117" s="947"/>
      <c r="J117" s="947"/>
      <c r="K117" s="947"/>
      <c r="L117" s="947"/>
      <c r="M117" s="899"/>
      <c r="N117" s="946"/>
      <c r="O117" s="1013"/>
      <c r="P117" s="1013"/>
      <c r="Q117" s="1013"/>
      <c r="R117" s="1013"/>
      <c r="S117" s="899"/>
      <c r="T117" s="899"/>
      <c r="U117" s="899"/>
      <c r="V117" s="899"/>
      <c r="W117" s="899"/>
      <c r="X117" s="899"/>
      <c r="Y117" s="1056"/>
      <c r="Z117" s="902"/>
      <c r="AA117" s="905"/>
      <c r="AB117" s="902"/>
      <c r="AC117" s="902"/>
      <c r="AD117" s="902"/>
    </row>
    <row customHeight="1" ht="9">
      <c r="A118" s="901"/>
      <c r="B118" s="901"/>
      <c r="C118" s="899"/>
      <c r="D118" s="899"/>
      <c r="E118" s="899"/>
      <c r="F118" s="899"/>
      <c r="G118" s="899"/>
      <c r="H118" s="947"/>
      <c r="I118" s="947"/>
      <c r="J118" s="947"/>
      <c r="K118" s="947"/>
      <c r="L118" s="947"/>
      <c r="M118" s="899"/>
      <c r="N118" s="946"/>
      <c r="O118" s="1013"/>
      <c r="P118" s="1013"/>
      <c r="Q118" s="1013"/>
      <c r="R118" s="1013"/>
      <c r="S118" s="899"/>
      <c r="T118" s="899"/>
      <c r="U118" s="899"/>
      <c r="V118" s="899"/>
      <c r="W118" s="899"/>
      <c r="X118" s="899"/>
      <c r="Y118" s="1056"/>
      <c r="Z118" s="902"/>
      <c r="AA118" s="905"/>
      <c r="AB118" s="902"/>
      <c r="AC118" s="902"/>
      <c r="AD118" s="902"/>
    </row>
    <row customHeight="1" ht="9">
      <c r="A119" s="901"/>
      <c r="B119" s="901"/>
      <c r="C119" s="899"/>
      <c r="D119" s="899"/>
      <c r="E119" s="899"/>
      <c r="F119" s="899"/>
      <c r="G119" s="899"/>
      <c r="H119" s="947"/>
      <c r="I119" s="947"/>
      <c r="J119" s="947"/>
      <c r="K119" s="947"/>
      <c r="L119" s="947"/>
      <c r="M119" s="899"/>
      <c r="N119" s="946"/>
      <c r="O119" s="1013"/>
      <c r="P119" s="1013"/>
      <c r="Q119" s="1013"/>
      <c r="R119" s="1013"/>
      <c r="S119" s="899"/>
      <c r="T119" s="899"/>
      <c r="U119" s="899"/>
      <c r="V119" s="899"/>
      <c r="W119" s="899"/>
      <c r="X119" s="899"/>
      <c r="Y119" s="1056"/>
      <c r="Z119" s="902"/>
      <c r="AA119" s="905"/>
      <c r="AB119" s="902"/>
      <c r="AC119" s="902"/>
      <c r="AD119" s="902"/>
    </row>
    <row customHeight="1" ht="9">
      <c r="A120" s="901"/>
      <c r="B120" s="901"/>
      <c r="C120" s="899"/>
      <c r="D120" s="899"/>
      <c r="E120" s="899"/>
      <c r="F120" s="899"/>
      <c r="G120" s="899"/>
      <c r="H120" s="947"/>
      <c r="I120" s="947"/>
      <c r="J120" s="947"/>
      <c r="K120" s="947"/>
      <c r="L120" s="947"/>
      <c r="M120" s="899"/>
      <c r="N120" s="946"/>
      <c r="O120" s="1013"/>
      <c r="P120" s="1013"/>
      <c r="Q120" s="1013"/>
      <c r="R120" s="1013"/>
      <c r="S120" s="899"/>
      <c r="T120" s="899"/>
      <c r="U120" s="899"/>
      <c r="V120" s="899"/>
      <c r="W120" s="899"/>
      <c r="X120" s="899"/>
      <c r="Y120" s="1056"/>
      <c r="Z120" s="902"/>
      <c r="AA120" s="905"/>
      <c r="AB120" s="902"/>
      <c r="AC120" s="902"/>
      <c r="AD120" s="902"/>
    </row>
    <row customHeight="1" ht="9">
      <c r="A121" s="901"/>
      <c r="B121" s="901"/>
      <c r="C121" s="899"/>
      <c r="D121" s="899"/>
      <c r="E121" s="899"/>
      <c r="F121" s="899"/>
      <c r="G121" s="899"/>
      <c r="H121" s="947"/>
      <c r="I121" s="947"/>
      <c r="J121" s="947"/>
      <c r="K121" s="947"/>
      <c r="L121" s="947"/>
      <c r="M121" s="899"/>
      <c r="N121" s="946"/>
      <c r="O121" s="1013"/>
      <c r="P121" s="1013"/>
      <c r="Q121" s="1013"/>
      <c r="R121" s="1013"/>
      <c r="S121" s="899"/>
      <c r="T121" s="899"/>
      <c r="U121" s="899"/>
      <c r="V121" s="899"/>
      <c r="W121" s="899"/>
      <c r="X121" s="899"/>
      <c r="Y121" s="1056"/>
      <c r="Z121" s="902"/>
      <c r="AA121" s="905"/>
      <c r="AB121" s="902"/>
      <c r="AC121" s="902"/>
      <c r="AD121" s="902"/>
    </row>
    <row customHeight="1" ht="9">
      <c r="A122" s="901"/>
      <c r="B122" s="901"/>
      <c r="C122" s="899"/>
      <c r="D122" s="899"/>
      <c r="E122" s="899"/>
      <c r="F122" s="899"/>
      <c r="G122" s="899"/>
      <c r="H122" s="947"/>
      <c r="I122" s="947"/>
      <c r="J122" s="947"/>
      <c r="K122" s="947"/>
      <c r="L122" s="947"/>
      <c r="M122" s="899"/>
      <c r="N122" s="946"/>
      <c r="O122" s="1013"/>
      <c r="P122" s="1013"/>
      <c r="Q122" s="1013"/>
      <c r="R122" s="1013"/>
      <c r="S122" s="899"/>
      <c r="T122" s="899"/>
      <c r="U122" s="899"/>
      <c r="V122" s="899"/>
      <c r="W122" s="899"/>
      <c r="X122" s="899"/>
      <c r="Y122" s="1056"/>
      <c r="Z122" s="902"/>
      <c r="AA122" s="905"/>
      <c r="AB122" s="902"/>
      <c r="AC122" s="902"/>
      <c r="AD122" s="902"/>
    </row>
    <row customHeight="1" ht="9">
      <c r="A123" s="901"/>
      <c r="B123" s="901"/>
      <c r="C123" s="899"/>
      <c r="D123" s="899"/>
      <c r="E123" s="899"/>
      <c r="F123" s="899"/>
      <c r="G123" s="899"/>
      <c r="H123" s="947"/>
      <c r="I123" s="947"/>
      <c r="J123" s="947"/>
      <c r="K123" s="947"/>
      <c r="L123" s="947"/>
      <c r="M123" s="899"/>
      <c r="N123" s="946"/>
      <c r="O123" s="1013"/>
      <c r="P123" s="1013"/>
      <c r="Q123" s="1013"/>
      <c r="R123" s="1013"/>
      <c r="S123" s="899"/>
      <c r="T123" s="899"/>
      <c r="U123" s="899"/>
      <c r="V123" s="899"/>
      <c r="W123" s="899"/>
      <c r="X123" s="899"/>
      <c r="Y123" s="1056"/>
      <c r="Z123" s="902"/>
      <c r="AA123" s="905"/>
      <c r="AB123" s="902"/>
      <c r="AC123" s="902"/>
      <c r="AD123" s="902"/>
    </row>
    <row customHeight="1" ht="9">
      <c r="A124" s="901"/>
      <c r="B124" s="901"/>
      <c r="C124" s="899"/>
      <c r="D124" s="899"/>
      <c r="E124" s="899"/>
      <c r="F124" s="899"/>
      <c r="G124" s="899"/>
      <c r="H124" s="947"/>
      <c r="I124" s="947"/>
      <c r="J124" s="947"/>
      <c r="K124" s="947"/>
      <c r="L124" s="947"/>
      <c r="M124" s="899"/>
      <c r="N124" s="946"/>
      <c r="O124" s="1013"/>
      <c r="P124" s="1013"/>
      <c r="Q124" s="1013"/>
      <c r="R124" s="1013"/>
      <c r="S124" s="899"/>
      <c r="T124" s="899"/>
      <c r="U124" s="899"/>
      <c r="V124" s="899"/>
      <c r="W124" s="899"/>
      <c r="X124" s="899"/>
      <c r="Y124" s="1056"/>
      <c r="Z124" s="902"/>
      <c r="AA124" s="905"/>
      <c r="AB124" s="902"/>
      <c r="AC124" s="902"/>
      <c r="AD124" s="902"/>
    </row>
    <row customHeight="1" ht="9">
      <c r="A125" s="901"/>
      <c r="B125" s="901"/>
      <c r="C125" s="899"/>
      <c r="D125" s="899"/>
      <c r="E125" s="899"/>
      <c r="F125" s="899"/>
      <c r="G125" s="899"/>
      <c r="H125" s="947"/>
      <c r="I125" s="947"/>
      <c r="J125" s="947"/>
      <c r="K125" s="947"/>
      <c r="L125" s="947"/>
      <c r="M125" s="899"/>
      <c r="N125" s="946"/>
      <c r="O125" s="1013"/>
      <c r="P125" s="1013"/>
      <c r="Q125" s="1013"/>
      <c r="R125" s="1013"/>
      <c r="S125" s="899"/>
      <c r="T125" s="899"/>
      <c r="U125" s="899"/>
      <c r="V125" s="899"/>
      <c r="W125" s="899"/>
      <c r="X125" s="899"/>
      <c r="Y125" s="1056"/>
      <c r="Z125" s="902"/>
      <c r="AA125" s="905"/>
      <c r="AB125" s="902"/>
      <c r="AC125" s="902"/>
      <c r="AD125" s="902"/>
    </row>
    <row customHeight="1" ht="9">
      <c r="A126" s="901"/>
      <c r="B126" s="901"/>
      <c r="C126" s="899"/>
      <c r="D126" s="899"/>
      <c r="E126" s="899"/>
      <c r="F126" s="899"/>
      <c r="G126" s="899"/>
      <c r="H126" s="947"/>
      <c r="I126" s="947"/>
      <c r="J126" s="947"/>
      <c r="K126" s="947"/>
      <c r="L126" s="947"/>
      <c r="M126" s="899"/>
      <c r="N126" s="946"/>
      <c r="O126" s="1013"/>
      <c r="P126" s="1013"/>
      <c r="Q126" s="1013"/>
      <c r="R126" s="1013"/>
      <c r="S126" s="899"/>
      <c r="T126" s="899"/>
      <c r="U126" s="899"/>
      <c r="V126" s="899"/>
      <c r="W126" s="899"/>
      <c r="X126" s="899"/>
      <c r="Y126" s="1056"/>
      <c r="Z126" s="902"/>
      <c r="AA126" s="905"/>
      <c r="AB126" s="902"/>
      <c r="AC126" s="902"/>
      <c r="AD126" s="902"/>
    </row>
    <row customHeight="1" ht="9">
      <c r="A127" s="901"/>
      <c r="B127" s="901"/>
      <c r="C127" s="899"/>
      <c r="D127" s="899"/>
      <c r="E127" s="899"/>
      <c r="F127" s="899"/>
      <c r="G127" s="899"/>
      <c r="H127" s="947"/>
      <c r="I127" s="947"/>
      <c r="J127" s="947"/>
      <c r="K127" s="947"/>
      <c r="L127" s="947"/>
      <c r="M127" s="899"/>
      <c r="N127" s="946"/>
      <c r="O127" s="1013"/>
      <c r="P127" s="1013"/>
      <c r="Q127" s="1013"/>
      <c r="R127" s="1013"/>
      <c r="S127" s="899"/>
      <c r="T127" s="899"/>
      <c r="U127" s="899"/>
      <c r="V127" s="899"/>
      <c r="W127" s="899"/>
      <c r="X127" s="899"/>
      <c r="Y127" s="1056"/>
      <c r="Z127" s="902"/>
      <c r="AA127" s="905"/>
      <c r="AB127" s="902"/>
      <c r="AC127" s="902"/>
      <c r="AD127" s="902"/>
    </row>
    <row customHeight="1" ht="9">
      <c r="A128" s="901"/>
      <c r="B128" s="901"/>
      <c r="C128" s="899"/>
      <c r="D128" s="899"/>
      <c r="E128" s="899"/>
      <c r="F128" s="899"/>
      <c r="G128" s="899"/>
      <c r="H128" s="947"/>
      <c r="I128" s="947"/>
      <c r="J128" s="947"/>
      <c r="K128" s="947"/>
      <c r="L128" s="947"/>
      <c r="M128" s="899"/>
      <c r="N128" s="946"/>
      <c r="O128" s="1013"/>
      <c r="P128" s="1013"/>
      <c r="Q128" s="1013"/>
      <c r="R128" s="1013"/>
      <c r="S128" s="899"/>
      <c r="T128" s="899"/>
      <c r="U128" s="899"/>
      <c r="V128" s="899"/>
      <c r="W128" s="899"/>
      <c r="X128" s="899"/>
      <c r="Y128" s="1056"/>
      <c r="Z128" s="902"/>
      <c r="AA128" s="905"/>
      <c r="AB128" s="902"/>
      <c r="AC128" s="902"/>
      <c r="AD128" s="902"/>
    </row>
    <row customHeight="1" ht="9">
      <c r="A129" s="901"/>
      <c r="B129" s="901"/>
      <c r="C129" s="899"/>
      <c r="D129" s="899"/>
      <c r="E129" s="899"/>
      <c r="F129" s="899"/>
      <c r="G129" s="899"/>
      <c r="H129" s="947"/>
      <c r="I129" s="947"/>
      <c r="J129" s="947"/>
      <c r="K129" s="947"/>
      <c r="L129" s="947"/>
      <c r="M129" s="899"/>
      <c r="N129" s="946"/>
      <c r="O129" s="1013"/>
      <c r="P129" s="1013"/>
      <c r="Q129" s="1013"/>
      <c r="R129" s="1013"/>
      <c r="S129" s="899"/>
      <c r="T129" s="899"/>
      <c r="U129" s="899"/>
      <c r="V129" s="899"/>
      <c r="W129" s="899"/>
      <c r="X129" s="899"/>
      <c r="Y129" s="1056"/>
      <c r="Z129" s="902"/>
      <c r="AA129" s="905"/>
      <c r="AB129" s="902"/>
      <c r="AC129" s="902"/>
      <c r="AD129" s="902"/>
    </row>
    <row customHeight="1" ht="9">
      <c r="A130" s="901"/>
      <c r="B130" s="901"/>
      <c r="C130" s="899"/>
      <c r="D130" s="899"/>
      <c r="E130" s="899"/>
      <c r="F130" s="899"/>
      <c r="G130" s="899"/>
      <c r="H130" s="947"/>
      <c r="I130" s="947"/>
      <c r="J130" s="947"/>
      <c r="K130" s="947"/>
      <c r="L130" s="947"/>
      <c r="M130" s="899"/>
      <c r="N130" s="946"/>
      <c r="O130" s="1015"/>
      <c r="P130" s="1015"/>
      <c r="Q130" s="1015"/>
      <c r="R130" s="1015"/>
      <c r="S130" s="899"/>
      <c r="T130" s="899"/>
      <c r="U130" s="899"/>
      <c r="V130" s="899"/>
      <c r="W130" s="899"/>
      <c r="X130" s="899"/>
      <c r="Y130" s="1056"/>
      <c r="Z130" s="902"/>
      <c r="AA130" s="905"/>
      <c r="AB130" s="902"/>
      <c r="AC130" s="902"/>
      <c r="AD130" s="902"/>
    </row>
    <row customHeight="1" ht="9">
      <c r="A131" s="901"/>
      <c r="B131" s="901"/>
      <c r="C131" s="899"/>
      <c r="D131" s="899"/>
      <c r="E131" s="899"/>
      <c r="F131" s="899"/>
      <c r="G131" s="899"/>
      <c r="H131" s="947"/>
      <c r="I131" s="947"/>
      <c r="J131" s="947"/>
      <c r="K131" s="947"/>
      <c r="L131" s="947"/>
      <c r="M131" s="899"/>
      <c r="N131" s="946"/>
      <c r="O131" s="1016"/>
      <c r="P131" s="1016"/>
      <c r="Q131" s="1016"/>
      <c r="R131" s="1016"/>
      <c r="S131" s="899"/>
      <c r="T131" s="899"/>
      <c r="U131" s="899"/>
      <c r="V131" s="899"/>
      <c r="W131" s="899"/>
      <c r="X131" s="899"/>
      <c r="Y131" s="1056"/>
      <c r="Z131" s="902"/>
      <c r="AA131" s="905"/>
      <c r="AB131" s="902"/>
      <c r="AC131" s="902"/>
      <c r="AD131" s="902"/>
    </row>
    <row customHeight="1" ht="9">
      <c r="A132" s="901"/>
      <c r="B132" s="901"/>
      <c r="C132" s="899"/>
      <c r="D132" s="899"/>
      <c r="E132" s="899"/>
      <c r="F132" s="899"/>
      <c r="G132" s="899"/>
      <c r="H132" s="947"/>
      <c r="I132" s="947"/>
      <c r="J132" s="947"/>
      <c r="K132" s="947"/>
      <c r="L132" s="947"/>
      <c r="M132" s="899"/>
      <c r="N132" s="946"/>
      <c r="O132" s="1015"/>
      <c r="P132" s="1015"/>
      <c r="Q132" s="1015"/>
      <c r="R132" s="1015"/>
      <c r="S132" s="899"/>
      <c r="T132" s="899"/>
      <c r="U132" s="899"/>
      <c r="V132" s="899"/>
      <c r="W132" s="899"/>
      <c r="X132" s="899"/>
      <c r="Y132" s="1056"/>
      <c r="Z132" s="902"/>
      <c r="AA132" s="905"/>
      <c r="AB132" s="902"/>
      <c r="AC132" s="902"/>
      <c r="AD132" s="902"/>
    </row>
    <row customHeight="1" ht="9">
      <c r="A133" s="901"/>
      <c r="B133" s="901"/>
      <c r="C133" s="899"/>
      <c r="D133" s="899"/>
      <c r="E133" s="899"/>
      <c r="F133" s="899"/>
      <c r="G133" s="899"/>
      <c r="H133" s="947"/>
      <c r="I133" s="947"/>
      <c r="J133" s="947"/>
      <c r="K133" s="947"/>
      <c r="L133" s="947"/>
      <c r="M133" s="899"/>
      <c r="N133" s="946"/>
      <c r="O133" s="1016"/>
      <c r="P133" s="1016"/>
      <c r="Q133" s="1016"/>
      <c r="R133" s="1016"/>
      <c r="S133" s="899"/>
      <c r="T133" s="899"/>
      <c r="U133" s="899"/>
      <c r="V133" s="899"/>
      <c r="W133" s="899"/>
      <c r="X133" s="899"/>
      <c r="Y133" s="1056"/>
      <c r="Z133" s="902"/>
      <c r="AA133" s="905"/>
      <c r="AB133" s="902"/>
      <c r="AC133" s="902"/>
      <c r="AD133" s="902"/>
    </row>
    <row customHeight="1" ht="9">
      <c r="A134" s="901"/>
      <c r="B134" s="901"/>
      <c r="C134" s="899"/>
      <c r="D134" s="899"/>
      <c r="E134" s="899"/>
      <c r="F134" s="899"/>
      <c r="G134" s="899"/>
      <c r="H134" s="947"/>
      <c r="I134" s="947"/>
      <c r="J134" s="947"/>
      <c r="K134" s="947"/>
      <c r="L134" s="947"/>
      <c r="M134" s="899"/>
      <c r="N134" s="946"/>
      <c r="O134" s="1013"/>
      <c r="P134" s="1013"/>
      <c r="Q134" s="1013"/>
      <c r="R134" s="1013"/>
      <c r="S134" s="899"/>
      <c r="T134" s="899"/>
      <c r="U134" s="899"/>
      <c r="V134" s="899"/>
      <c r="W134" s="899"/>
      <c r="X134" s="899"/>
      <c r="Y134" s="1056"/>
      <c r="Z134" s="902"/>
      <c r="AA134" s="905"/>
      <c r="AB134" s="902"/>
      <c r="AC134" s="902"/>
      <c r="AD134" s="902"/>
    </row>
    <row customHeight="1" ht="9">
      <c r="A135" s="901"/>
      <c r="B135" s="901"/>
      <c r="C135" s="899"/>
      <c r="D135" s="899"/>
      <c r="E135" s="899"/>
      <c r="F135" s="899"/>
      <c r="G135" s="899"/>
      <c r="H135" s="947"/>
      <c r="I135" s="947"/>
      <c r="J135" s="947"/>
      <c r="K135" s="947"/>
      <c r="L135" s="947"/>
      <c r="M135" s="899"/>
      <c r="N135" s="946"/>
      <c r="O135" s="1013"/>
      <c r="P135" s="1013"/>
      <c r="Q135" s="1013"/>
      <c r="R135" s="1013"/>
      <c r="S135" s="899"/>
      <c r="T135" s="899"/>
      <c r="U135" s="899"/>
      <c r="V135" s="899"/>
      <c r="W135" s="899"/>
      <c r="X135" s="899"/>
      <c r="Y135" s="1056"/>
      <c r="Z135" s="902"/>
      <c r="AA135" s="905"/>
      <c r="AB135" s="902"/>
      <c r="AC135" s="902"/>
      <c r="AD135" s="902"/>
    </row>
    <row customHeight="1" ht="9">
      <c r="A136" s="901"/>
      <c r="B136" s="901"/>
      <c r="C136" s="899"/>
      <c r="D136" s="899"/>
      <c r="E136" s="899"/>
      <c r="F136" s="899"/>
      <c r="G136" s="899"/>
      <c r="H136" s="947"/>
      <c r="I136" s="947"/>
      <c r="J136" s="947"/>
      <c r="K136" s="947"/>
      <c r="L136" s="947"/>
      <c r="M136" s="899"/>
      <c r="N136" s="946"/>
      <c r="O136" s="1013"/>
      <c r="P136" s="1013"/>
      <c r="Q136" s="1013"/>
      <c r="R136" s="1013"/>
      <c r="S136" s="899"/>
      <c r="T136" s="899"/>
      <c r="U136" s="899"/>
      <c r="V136" s="899"/>
      <c r="W136" s="899"/>
      <c r="X136" s="899"/>
      <c r="Y136" s="1056"/>
      <c r="Z136" s="902"/>
      <c r="AA136" s="905"/>
      <c r="AB136" s="902"/>
      <c r="AC136" s="902"/>
      <c r="AD136" s="902"/>
    </row>
    <row customHeight="1" ht="9">
      <c r="A137" s="901"/>
      <c r="B137" s="901"/>
      <c r="C137" s="899"/>
      <c r="D137" s="899"/>
      <c r="E137" s="899"/>
      <c r="F137" s="899"/>
      <c r="G137" s="899"/>
      <c r="H137" s="947"/>
      <c r="I137" s="947"/>
      <c r="J137" s="947"/>
      <c r="K137" s="947"/>
      <c r="L137" s="947"/>
      <c r="M137" s="899"/>
      <c r="N137" s="946"/>
      <c r="O137" s="1017"/>
      <c r="P137" s="1017"/>
      <c r="Q137" s="1017"/>
      <c r="R137" s="1017"/>
      <c r="S137" s="899"/>
      <c r="T137" s="899"/>
      <c r="U137" s="899"/>
      <c r="V137" s="899"/>
      <c r="W137" s="899"/>
      <c r="X137" s="899"/>
      <c r="Y137" s="1056"/>
      <c r="Z137" s="902"/>
      <c r="AA137" s="905"/>
      <c r="AB137" s="902"/>
      <c r="AC137" s="902"/>
      <c r="AD137" s="902"/>
    </row>
    <row customHeight="1" ht="9">
      <c r="A138" s="901"/>
      <c r="B138" s="901"/>
      <c r="C138" s="899"/>
      <c r="D138" s="899"/>
      <c r="E138" s="899"/>
      <c r="F138" s="899"/>
      <c r="G138" s="899"/>
      <c r="H138" s="947"/>
      <c r="I138" s="947"/>
      <c r="J138" s="947"/>
      <c r="K138" s="947"/>
      <c r="L138" s="947"/>
      <c r="M138" s="899"/>
      <c r="N138" s="946"/>
      <c r="O138" s="1014"/>
      <c r="P138" s="1014"/>
      <c r="Q138" s="1014"/>
      <c r="R138" s="1014"/>
      <c r="S138" s="899"/>
      <c r="T138" s="899"/>
      <c r="U138" s="899"/>
      <c r="V138" s="899"/>
      <c r="W138" s="899"/>
      <c r="X138" s="899"/>
      <c r="Y138" s="1056"/>
      <c r="Z138" s="902"/>
      <c r="AA138" s="905"/>
      <c r="AB138" s="902"/>
      <c r="AC138" s="902"/>
      <c r="AD138" s="902"/>
    </row>
    <row customHeight="1" ht="9">
      <c r="A139" s="901"/>
      <c r="B139" s="901"/>
      <c r="C139" s="899"/>
      <c r="D139" s="899"/>
      <c r="E139" s="899"/>
      <c r="F139" s="899"/>
      <c r="G139" s="899"/>
      <c r="H139" s="947"/>
      <c r="I139" s="947"/>
      <c r="J139" s="947"/>
      <c r="K139" s="947"/>
      <c r="L139" s="947"/>
      <c r="M139" s="899"/>
      <c r="N139" s="946"/>
      <c r="O139" s="899"/>
      <c r="P139" s="899"/>
      <c r="Q139" s="899"/>
      <c r="R139" s="899"/>
      <c r="S139" s="899"/>
      <c r="T139" s="899"/>
      <c r="U139" s="899"/>
      <c r="V139" s="899"/>
      <c r="W139" s="899"/>
      <c r="X139" s="899"/>
      <c r="Y139" s="1056"/>
      <c r="Z139" s="902"/>
      <c r="AA139" s="905"/>
      <c r="AB139" s="902"/>
      <c r="AC139" s="902"/>
      <c r="AD139" s="902"/>
    </row>
    <row customHeight="1" ht="9">
      <c r="A140" s="901"/>
      <c r="B140" s="901"/>
      <c r="C140" s="899"/>
      <c r="D140" s="899"/>
      <c r="E140" s="899"/>
      <c r="F140" s="899"/>
      <c r="G140" s="899"/>
      <c r="H140" s="947"/>
      <c r="I140" s="947"/>
      <c r="J140" s="947"/>
      <c r="K140" s="947"/>
      <c r="L140" s="947"/>
      <c r="M140" s="899"/>
      <c r="N140" s="946"/>
      <c r="O140" s="899"/>
      <c r="P140" s="899"/>
      <c r="Q140" s="899"/>
      <c r="R140" s="899"/>
      <c r="S140" s="899"/>
      <c r="T140" s="899"/>
      <c r="U140" s="899"/>
      <c r="V140" s="899"/>
      <c r="W140" s="899"/>
      <c r="X140" s="899"/>
      <c r="Y140" s="1056"/>
      <c r="Z140" s="902"/>
      <c r="AA140" s="905"/>
      <c r="AB140" s="902"/>
      <c r="AC140" s="902"/>
      <c r="AD140" s="902"/>
    </row>
    <row customHeight="1" ht="9">
      <c r="A141" s="901"/>
      <c r="B141" s="901"/>
      <c r="C141" s="899"/>
      <c r="D141" s="899"/>
      <c r="E141" s="899"/>
      <c r="F141" s="899"/>
      <c r="G141" s="899"/>
      <c r="H141" s="947"/>
      <c r="I141" s="947"/>
      <c r="J141" s="947"/>
      <c r="K141" s="947"/>
      <c r="L141" s="947"/>
      <c r="M141" s="899"/>
      <c r="N141" s="946"/>
      <c r="O141" s="899"/>
      <c r="P141" s="899"/>
      <c r="Q141" s="899"/>
      <c r="R141" s="899"/>
      <c r="S141" s="899"/>
      <c r="T141" s="899"/>
      <c r="U141" s="899"/>
      <c r="V141" s="899"/>
      <c r="W141" s="899"/>
      <c r="X141" s="899"/>
      <c r="Y141" s="1056"/>
      <c r="Z141" s="902"/>
      <c r="AA141" s="905"/>
      <c r="AB141" s="902"/>
      <c r="AC141" s="902"/>
      <c r="AD141" s="902"/>
    </row>
    <row customHeight="1" ht="9">
      <c r="A142" s="901"/>
      <c r="B142" s="901"/>
      <c r="C142" s="899"/>
      <c r="D142" s="899"/>
      <c r="E142" s="899"/>
      <c r="F142" s="899"/>
      <c r="G142" s="899"/>
      <c r="H142" s="947"/>
      <c r="I142" s="947"/>
      <c r="J142" s="947"/>
      <c r="K142" s="947"/>
      <c r="L142" s="947"/>
      <c r="M142" s="899"/>
      <c r="N142" s="946"/>
      <c r="O142" s="899"/>
      <c r="P142" s="899"/>
      <c r="Q142" s="899"/>
      <c r="R142" s="899"/>
      <c r="S142" s="899"/>
      <c r="T142" s="899"/>
      <c r="U142" s="899"/>
      <c r="V142" s="899"/>
      <c r="W142" s="899"/>
      <c r="X142" s="899"/>
      <c r="Y142" s="1056"/>
      <c r="Z142" s="902"/>
      <c r="AA142" s="905"/>
      <c r="AB142" s="902"/>
      <c r="AC142" s="902"/>
      <c r="AD142" s="902"/>
    </row>
    <row customHeight="1" ht="9">
      <c r="A143" s="901"/>
      <c r="B143" s="901"/>
      <c r="C143" s="899"/>
      <c r="D143" s="899"/>
      <c r="E143" s="899"/>
      <c r="F143" s="899"/>
      <c r="G143" s="899"/>
      <c r="H143" s="947"/>
      <c r="I143" s="947"/>
      <c r="J143" s="947"/>
      <c r="K143" s="947"/>
      <c r="L143" s="947"/>
      <c r="M143" s="899"/>
      <c r="N143" s="946"/>
      <c r="O143" s="899"/>
      <c r="P143" s="899"/>
      <c r="Q143" s="899"/>
      <c r="R143" s="899"/>
      <c r="S143" s="899"/>
      <c r="T143" s="899"/>
      <c r="U143" s="899"/>
      <c r="V143" s="899"/>
      <c r="W143" s="899"/>
      <c r="X143" s="899"/>
      <c r="Y143" s="1056"/>
      <c r="Z143" s="902"/>
      <c r="AA143" s="905"/>
      <c r="AB143" s="902"/>
      <c r="AC143" s="902"/>
      <c r="AD143" s="902"/>
    </row>
    <row customHeight="1" ht="9">
      <c r="A144" s="901"/>
      <c r="B144" s="901"/>
      <c r="C144" s="899"/>
      <c r="D144" s="899"/>
      <c r="E144" s="899"/>
      <c r="F144" s="899"/>
      <c r="G144" s="899"/>
      <c r="H144" s="947"/>
      <c r="I144" s="947"/>
      <c r="J144" s="947"/>
      <c r="K144" s="947"/>
      <c r="L144" s="947"/>
      <c r="M144" s="899"/>
      <c r="N144" s="946"/>
      <c r="O144" s="899"/>
      <c r="P144" s="899"/>
      <c r="Q144" s="899"/>
      <c r="R144" s="899"/>
      <c r="S144" s="899"/>
      <c r="T144" s="899"/>
      <c r="U144" s="899"/>
      <c r="V144" s="899"/>
      <c r="W144" s="899"/>
      <c r="X144" s="899"/>
      <c r="Y144" s="1056"/>
      <c r="Z144" s="902"/>
      <c r="AA144" s="905"/>
      <c r="AB144" s="902"/>
      <c r="AC144" s="902"/>
      <c r="AD144" s="902"/>
    </row>
    <row customHeight="1" ht="9">
      <c r="A145" s="901"/>
      <c r="B145" s="901"/>
      <c r="C145" s="899"/>
      <c r="D145" s="899"/>
      <c r="E145" s="899"/>
      <c r="F145" s="899"/>
      <c r="G145" s="899"/>
      <c r="H145" s="947"/>
      <c r="I145" s="947"/>
      <c r="J145" s="947"/>
      <c r="K145" s="947"/>
      <c r="L145" s="947"/>
      <c r="M145" s="899"/>
      <c r="N145" s="946"/>
      <c r="O145" s="899"/>
      <c r="P145" s="899"/>
      <c r="Q145" s="899"/>
      <c r="R145" s="899"/>
      <c r="S145" s="899"/>
      <c r="T145" s="899"/>
      <c r="U145" s="899"/>
      <c r="V145" s="899"/>
      <c r="W145" s="899"/>
      <c r="X145" s="899"/>
      <c r="Y145" s="1056"/>
      <c r="Z145" s="902"/>
      <c r="AA145" s="905"/>
      <c r="AB145" s="902"/>
      <c r="AC145" s="902"/>
      <c r="AD145" s="902"/>
    </row>
    <row customHeight="1" ht="9">
      <c r="A146" s="901"/>
      <c r="B146" s="901"/>
      <c r="C146" s="899"/>
      <c r="D146" s="899"/>
      <c r="E146" s="899"/>
      <c r="F146" s="899"/>
      <c r="G146" s="899"/>
      <c r="H146" s="947"/>
      <c r="I146" s="947"/>
      <c r="J146" s="947"/>
      <c r="K146" s="947"/>
      <c r="L146" s="947"/>
      <c r="M146" s="899"/>
      <c r="N146" s="946"/>
      <c r="O146" s="899"/>
      <c r="P146" s="899"/>
      <c r="Q146" s="899"/>
      <c r="R146" s="899"/>
      <c r="S146" s="899"/>
      <c r="T146" s="899"/>
      <c r="U146" s="899"/>
      <c r="V146" s="899"/>
      <c r="W146" s="899"/>
      <c r="X146" s="899"/>
      <c r="Y146" s="1056"/>
      <c r="Z146" s="902"/>
      <c r="AA146" s="905"/>
      <c r="AB146" s="902"/>
      <c r="AC146" s="902"/>
      <c r="AD146" s="902"/>
    </row>
    <row customHeight="1" ht="9">
      <c r="A147" s="901"/>
      <c r="B147" s="901"/>
      <c r="C147" s="901"/>
      <c r="D147" s="901"/>
      <c r="E147" s="901"/>
      <c r="F147" s="901"/>
      <c r="G147" s="901"/>
      <c r="H147" s="901"/>
      <c r="I147" s="901"/>
      <c r="J147" s="901"/>
      <c r="K147" s="901"/>
      <c r="L147" s="901"/>
      <c r="M147" s="901"/>
      <c r="N147" s="901"/>
      <c r="O147" s="901"/>
      <c r="P147" s="901"/>
      <c r="Q147" s="901"/>
      <c r="R147" s="901"/>
      <c r="S147" s="901"/>
      <c r="T147" s="901"/>
      <c r="U147" s="901"/>
      <c r="V147" s="901"/>
      <c r="W147" s="901"/>
      <c r="X147" s="901"/>
      <c r="Y147" s="901"/>
      <c r="Z147" s="901"/>
      <c r="AA147" s="901"/>
      <c r="AB147" s="901"/>
      <c r="AC147" s="901"/>
      <c r="AD147" s="901"/>
    </row>
    <row customHeight="1" ht="90">
      <c r="A148" s="901" t="s">
        <v>1795</v>
      </c>
      <c r="B148" s="901"/>
      <c r="C148" s="899" t="s">
        <v>2359</v>
      </c>
      <c r="D148" s="899" t="s">
        <v>1698</v>
      </c>
      <c r="E148" s="899" t="s">
        <v>1797</v>
      </c>
      <c r="F148" s="899" t="s">
        <v>2360</v>
      </c>
      <c r="G148" s="899"/>
      <c r="H148" s="899"/>
      <c r="I148" s="1019"/>
      <c r="J148" s="1019"/>
      <c r="K148" s="1019"/>
      <c r="L148" s="1019"/>
      <c r="M148" s="94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904"/>
      <c r="O148" s="899"/>
      <c r="P148" s="900"/>
      <c r="Q148" s="900"/>
      <c r="R148" s="900"/>
      <c r="S148" s="899"/>
      <c r="T148" s="899" t="s">
        <v>2361</v>
      </c>
      <c r="U148" s="90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900"/>
      <c r="W148" s="900"/>
      <c r="X148" s="899" t="s">
        <v>2362</v>
      </c>
      <c r="Y148" s="1056"/>
      <c r="Z148" s="902"/>
      <c r="AA148" s="905"/>
      <c r="AB148" s="902"/>
      <c r="AC148" s="902"/>
      <c r="AD148" s="902"/>
    </row>
    <row customHeight="1" ht="9">
      <c r="A149" s="901"/>
      <c r="B149" s="901"/>
      <c r="C149" s="901"/>
      <c r="D149" s="901"/>
      <c r="E149" s="901"/>
      <c r="F149" s="901"/>
      <c r="G149" s="901"/>
      <c r="H149" s="901"/>
      <c r="I149" s="901"/>
      <c r="J149" s="901"/>
      <c r="K149" s="901"/>
      <c r="L149" s="901"/>
      <c r="M149" s="901"/>
      <c r="N149" s="901"/>
      <c r="O149" s="901"/>
      <c r="P149" s="901"/>
      <c r="Q149" s="901"/>
      <c r="R149" s="901"/>
      <c r="S149" s="901"/>
      <c r="T149" s="901"/>
      <c r="U149" s="901"/>
      <c r="V149" s="901"/>
      <c r="W149" s="901"/>
      <c r="X149" s="901"/>
      <c r="Y149" s="901"/>
      <c r="Z149" s="901"/>
      <c r="AA149" s="901"/>
      <c r="AB149" s="901"/>
      <c r="AC149" s="901"/>
      <c r="AD149" s="901"/>
    </row>
    <row customHeight="1" ht="9">
      <c r="A150" s="901" t="s">
        <v>1799</v>
      </c>
      <c r="B150" s="901"/>
      <c r="C150" s="899"/>
      <c r="D150" s="899"/>
      <c r="E150" s="899"/>
      <c r="F150" s="899"/>
      <c r="G150" s="899"/>
      <c r="H150" s="899"/>
      <c r="I150" s="899"/>
      <c r="J150" s="899"/>
      <c r="K150" s="899"/>
      <c r="L150" s="899"/>
      <c r="M150" s="899"/>
      <c r="N150" s="899"/>
      <c r="O150" s="899"/>
      <c r="P150" s="899"/>
      <c r="Q150" s="899"/>
      <c r="R150" s="899"/>
      <c r="S150" s="899"/>
      <c r="T150" s="899"/>
      <c r="U150" s="899"/>
      <c r="V150" s="899"/>
      <c r="W150" s="899"/>
      <c r="X150" s="899"/>
      <c r="Y150" s="1056"/>
      <c r="Z150" s="902"/>
      <c r="AA150" s="905"/>
      <c r="AB150" s="902"/>
      <c r="AC150" s="902"/>
      <c r="AD150" s="902"/>
    </row>
    <row customHeight="1" ht="9">
      <c r="A151" s="901"/>
      <c r="B151" s="901"/>
      <c r="C151" s="901"/>
      <c r="D151" s="901"/>
      <c r="E151" s="901"/>
      <c r="F151" s="901"/>
      <c r="G151" s="901"/>
      <c r="H151" s="901"/>
      <c r="I151" s="901"/>
      <c r="J151" s="901"/>
      <c r="K151" s="901"/>
      <c r="L151" s="901"/>
      <c r="M151" s="901"/>
      <c r="N151" s="901"/>
      <c r="O151" s="901"/>
      <c r="P151" s="901"/>
      <c r="Q151" s="901"/>
      <c r="R151" s="901"/>
      <c r="S151" s="901"/>
      <c r="T151" s="901"/>
      <c r="U151" s="901"/>
      <c r="V151" s="901"/>
      <c r="W151" s="901"/>
      <c r="X151" s="901"/>
      <c r="Y151" s="901"/>
      <c r="Z151" s="901"/>
      <c r="AA151" s="901"/>
      <c r="AB151" s="901"/>
      <c r="AC151" s="901"/>
      <c r="AD151" s="901"/>
    </row>
    <row customHeight="1" ht="9">
      <c r="A152" s="901" t="s">
        <v>1802</v>
      </c>
      <c r="B152" s="901"/>
      <c r="C152" s="899"/>
      <c r="D152" s="899"/>
      <c r="E152" s="899"/>
      <c r="F152" s="899"/>
      <c r="G152" s="899"/>
      <c r="H152" s="899"/>
      <c r="I152" s="899"/>
      <c r="J152" s="899"/>
      <c r="K152" s="899"/>
      <c r="L152" s="899"/>
      <c r="M152" s="899"/>
      <c r="N152" s="899"/>
      <c r="O152" s="899"/>
      <c r="P152" s="899"/>
      <c r="Q152" s="899"/>
      <c r="R152" s="899"/>
      <c r="S152" s="899"/>
      <c r="T152" s="899"/>
      <c r="U152" s="899"/>
      <c r="V152" s="899"/>
      <c r="W152" s="899"/>
      <c r="X152" s="899"/>
      <c r="Y152" s="1056"/>
      <c r="Z152" s="902"/>
      <c r="AA152" s="905"/>
      <c r="AB152" s="902"/>
      <c r="AC152" s="902"/>
      <c r="AD152" s="902"/>
    </row>
    <row customHeight="1" ht="9">
      <c r="A153" s="901"/>
      <c r="B153" s="901"/>
      <c r="C153" s="901"/>
      <c r="D153" s="901"/>
      <c r="E153" s="901"/>
      <c r="F153" s="901"/>
      <c r="G153" s="901"/>
      <c r="H153" s="901"/>
      <c r="I153" s="901"/>
      <c r="J153" s="901"/>
      <c r="K153" s="901"/>
      <c r="L153" s="901"/>
      <c r="M153" s="901"/>
      <c r="N153" s="901"/>
      <c r="O153" s="901"/>
      <c r="P153" s="901"/>
      <c r="Q153" s="901"/>
      <c r="R153" s="901"/>
      <c r="S153" s="901"/>
      <c r="T153" s="901"/>
      <c r="U153" s="901"/>
      <c r="V153" s="901"/>
      <c r="W153" s="901"/>
      <c r="X153" s="901"/>
      <c r="Y153" s="901"/>
      <c r="Z153" s="901"/>
      <c r="AA153" s="901"/>
      <c r="AB153" s="901"/>
      <c r="AC153" s="901"/>
      <c r="AD153" s="901"/>
    </row>
    <row customHeight="1" ht="9">
      <c r="A154" s="901" t="s">
        <v>1807</v>
      </c>
      <c r="B154" s="901"/>
      <c r="C154" s="899"/>
      <c r="D154" s="899"/>
      <c r="E154" s="899"/>
      <c r="F154" s="899"/>
      <c r="G154" s="899"/>
      <c r="H154" s="899"/>
      <c r="I154" s="899"/>
      <c r="J154" s="899"/>
      <c r="K154" s="899"/>
      <c r="L154" s="899"/>
      <c r="M154" s="899"/>
      <c r="N154" s="899"/>
      <c r="O154" s="899"/>
      <c r="P154" s="899"/>
      <c r="Q154" s="899"/>
      <c r="R154" s="899"/>
      <c r="S154" s="899"/>
      <c r="T154" s="899"/>
      <c r="U154" s="899"/>
      <c r="V154" s="899"/>
      <c r="W154" s="899"/>
      <c r="X154" s="899"/>
      <c r="Y154" s="1056"/>
      <c r="Z154" s="902"/>
      <c r="AA154" s="905"/>
      <c r="AB154" s="902"/>
      <c r="AC154" s="902"/>
      <c r="AD154" s="902"/>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1B179F-6F0F-6DCD-8D0A-C2A6FCB56AA8}"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850" width="10.57421875" hidden="1"/>
    <col min="2" max="2" style="2850" width="11.00390625" hidden="1" customWidth="1"/>
    <col min="3" max="3" style="2850" width="10.57421875" hidden="1"/>
    <col min="4" max="4" style="2850" width="11.8515625" hidden="1" customWidth="1"/>
    <col min="5" max="5" style="2850" width="12.28125" hidden="1" customWidth="1"/>
    <col min="6" max="8" style="2792" width="12.28125" hidden="1" customWidth="1"/>
    <col min="9" max="9" style="3680" width="3.00390625" customWidth="1"/>
    <col min="10" max="11" style="3677" width="3.00390625" customWidth="1"/>
    <col min="12" max="12" style="3681" width="12.00390625" customWidth="1"/>
    <col min="13" max="13" style="2774" width="31.00390625" customWidth="1"/>
    <col min="14" max="14" style="2774" width="1.00390625" customWidth="1"/>
    <col min="15" max="18" style="2774" width="24.00390625" customWidth="1"/>
    <col min="19" max="19" style="2774" width="11.00390625" customWidth="1"/>
    <col min="20" max="20" style="2774" width="3.7109375" customWidth="1"/>
    <col min="21" max="21" style="2774" width="11.00390625" customWidth="1"/>
    <col min="22" max="22" style="2774" width="8.57421875" customWidth="1"/>
    <col min="23" max="23" style="2774" width="4.00390625" customWidth="1"/>
    <col min="24" max="24" style="2774" width="115.00390625" customWidth="1"/>
    <col min="25" max="29" style="2851" width="10.00390625" customWidth="1"/>
    <col min="30" max="30" style="2774" width="10.57421875" hidden="1"/>
  </cols>
  <sheetData>
    <row customHeight="1" ht="22.5" hidden="1">
      <c r="R1" s="383"/>
      <c r="S1" s="383"/>
      <c r="AD1" s="1211" t="s">
        <v>14</v>
      </c>
    </row>
    <row customHeight="1" ht="14.25" hidden="1">
      <c r="V2" s="383"/>
      <c r="AD2" s="1211">
        <v>0</v>
      </c>
    </row>
    <row customHeight="1" ht="14.25" hidden="1">
      <c r="AD3" s="1211">
        <v>0</v>
      </c>
    </row>
    <row customHeight="1" ht="14.699999999999998">
      <c r="J4" s="432"/>
      <c r="K4" s="432"/>
      <c r="L4" s="1331"/>
      <c r="M4" s="419"/>
      <c r="N4" s="419"/>
      <c r="O4" s="565"/>
      <c r="P4" s="565"/>
      <c r="Q4" s="565"/>
      <c r="R4" s="565"/>
      <c r="S4" s="565"/>
      <c r="T4" s="565"/>
      <c r="U4" s="565"/>
      <c r="V4" s="565"/>
      <c r="AD4" s="1211">
        <v>14</v>
      </c>
    </row>
    <row customHeight="1" ht="67.2">
      <c r="J5" s="432"/>
      <c r="K5" s="432"/>
      <c r="L5" s="2659" t="s">
        <v>2363</v>
      </c>
      <c r="M5" s="2659"/>
      <c r="N5" s="2659"/>
      <c r="O5" s="2659"/>
      <c r="P5" s="2659"/>
      <c r="Q5" s="2659"/>
      <c r="R5" s="2659"/>
      <c r="S5" s="2659"/>
      <c r="T5" s="2659"/>
      <c r="U5" s="2659"/>
      <c r="V5" s="1299"/>
      <c r="AD5" s="1211">
        <v>64</v>
      </c>
    </row>
    <row customHeight="1" ht="14.699999999999998">
      <c r="J6" s="432"/>
      <c r="K6" s="432"/>
      <c r="L6" s="2660" t="str">
        <f>IF(org=0,"Не определено",org)</f>
        <v>МУП ЖКХ "Родник"</v>
      </c>
      <c r="M6" s="2660"/>
      <c r="N6" s="2660"/>
      <c r="O6" s="2660"/>
      <c r="P6" s="2660"/>
      <c r="Q6" s="2660"/>
      <c r="R6" s="2660"/>
      <c r="S6" s="2660"/>
      <c r="T6" s="2660"/>
      <c r="U6" s="2660"/>
      <c r="V6" s="1299"/>
      <c r="AD6" s="1211">
        <v>14</v>
      </c>
    </row>
    <row customHeight="1" ht="14.699999999999998">
      <c r="J7" s="432"/>
      <c r="K7" s="432"/>
      <c r="L7" s="1331"/>
      <c r="M7" s="419"/>
      <c r="N7" s="419"/>
      <c r="O7" s="378"/>
      <c r="P7" s="378"/>
      <c r="Q7" s="378"/>
      <c r="R7" s="378"/>
      <c r="S7" s="378"/>
      <c r="T7" s="378"/>
      <c r="U7" s="378"/>
      <c r="V7" s="378"/>
      <c r="W7" s="565"/>
      <c r="AD7" s="1211">
        <v>14</v>
      </c>
    </row>
    <row s="2983" customFormat="1" customHeight="1" ht="48.29999999999999">
      <c r="A8" s="1424"/>
      <c r="B8" s="1424"/>
      <c r="C8" s="1424"/>
      <c r="D8" s="1424"/>
      <c r="E8" s="1424"/>
      <c r="F8" s="1424"/>
      <c r="G8" s="1424"/>
      <c r="H8" s="1424"/>
      <c r="L8" s="1332"/>
      <c r="M8" s="351" t="s">
        <v>42</v>
      </c>
      <c r="N8" s="360"/>
      <c r="O8" s="2307" t="str">
        <f>IF(TITLE_NAME_OR_PR_CHANGE="",IF(TITLE_NAME_OR_PR="","",TITLE_NAME_OR_PR),TITLE_NAME_OR_PR_CHANGE)</f>
        <v>Министерство по тарифам и ценам Курской области</v>
      </c>
      <c r="P8" s="2307"/>
      <c r="Q8" s="2307"/>
      <c r="R8" s="2307"/>
      <c r="S8" s="2307"/>
      <c r="T8" s="2307"/>
      <c r="U8" s="2307"/>
      <c r="V8" s="382"/>
      <c r="W8" s="382"/>
      <c r="X8" s="336"/>
      <c r="Y8" s="424"/>
      <c r="Z8" s="424"/>
      <c r="AA8" s="424"/>
      <c r="AB8" s="424"/>
      <c r="AC8" s="424"/>
      <c r="AD8" s="474">
        <v>46</v>
      </c>
    </row>
    <row s="2983" customFormat="1" customHeight="1" ht="24">
      <c r="A9" s="1424"/>
      <c r="B9" s="1424"/>
      <c r="C9" s="1424"/>
      <c r="D9" s="1424"/>
      <c r="E9" s="1424"/>
      <c r="F9" s="1424"/>
      <c r="G9" s="1424"/>
      <c r="H9" s="1424"/>
      <c r="L9" s="1332"/>
      <c r="M9" s="351" t="s">
        <v>553</v>
      </c>
      <c r="N9" s="360"/>
      <c r="O9" s="2307" t="str">
        <f>IF(TITLE_DATE_CHANGE_PERIOD="",IF(TITLE_DATE_PR="","",TITLE_DATE_PR),TITLE_DATE_CHANGE_PERIOD)</f>
        <v>45658</v>
      </c>
      <c r="P9" s="2307"/>
      <c r="Q9" s="2307"/>
      <c r="R9" s="2307"/>
      <c r="S9" s="2307"/>
      <c r="T9" s="2307"/>
      <c r="U9" s="2307"/>
      <c r="V9" s="382"/>
      <c r="W9" s="382"/>
      <c r="X9" s="336"/>
      <c r="Y9" s="424"/>
      <c r="Z9" s="424"/>
      <c r="AA9" s="424"/>
      <c r="AB9" s="424"/>
      <c r="AC9" s="424"/>
      <c r="AD9" s="474">
        <v>23</v>
      </c>
    </row>
    <row s="2983" customFormat="1" customHeight="1" ht="24">
      <c r="A10" s="1424"/>
      <c r="B10" s="1424"/>
      <c r="C10" s="1424"/>
      <c r="D10" s="1424"/>
      <c r="E10" s="1424"/>
      <c r="F10" s="1424"/>
      <c r="G10" s="1424"/>
      <c r="H10" s="1424"/>
      <c r="L10" s="1306"/>
      <c r="M10" s="351" t="s">
        <v>554</v>
      </c>
      <c r="N10" s="360"/>
      <c r="O10" s="2307" t="str">
        <f>IF(TITLE_NUMBER_PR_CHANGE="",IF(TITLE_NUMBER_PR="","",TITLE_NUMBER_PR),TITLE_NUMBER_PR_CHANGE)</f>
        <v>208-вод</v>
      </c>
      <c r="P10" s="2307"/>
      <c r="Q10" s="2307"/>
      <c r="R10" s="2307"/>
      <c r="S10" s="2307"/>
      <c r="T10" s="2307"/>
      <c r="U10" s="2307"/>
      <c r="V10" s="382"/>
      <c r="W10" s="382"/>
      <c r="X10" s="336"/>
      <c r="Y10" s="424"/>
      <c r="Z10" s="424"/>
      <c r="AA10" s="424"/>
      <c r="AB10" s="424"/>
      <c r="AC10" s="424"/>
      <c r="AD10" s="474">
        <v>23</v>
      </c>
    </row>
    <row s="2983" customFormat="1" customHeight="1" ht="24">
      <c r="A11" s="1424"/>
      <c r="B11" s="1424"/>
      <c r="C11" s="1424"/>
      <c r="D11" s="1424"/>
      <c r="E11" s="1424"/>
      <c r="F11" s="1424"/>
      <c r="G11" s="1424"/>
      <c r="H11" s="1424"/>
      <c r="L11" s="1306"/>
      <c r="M11" s="351" t="s">
        <v>44</v>
      </c>
      <c r="N11" s="360"/>
      <c r="O11" s="2307" t="str">
        <f>IF(TITLE_IST_PUB_CHANGE="",IF(TITLE_IST_PUB="","",TITLE_IST_PUB),TITLE_IST_PUB_CHANGE)</f>
        <v>Газета "Курская правда" №155 от 26.12.2024 г.</v>
      </c>
      <c r="P11" s="2307"/>
      <c r="Q11" s="2307"/>
      <c r="R11" s="2307"/>
      <c r="S11" s="2307"/>
      <c r="T11" s="2307"/>
      <c r="U11" s="2307"/>
      <c r="V11" s="382"/>
      <c r="W11" s="382"/>
      <c r="X11" s="336"/>
      <c r="Y11" s="424"/>
      <c r="Z11" s="424"/>
      <c r="AA11" s="424"/>
      <c r="AB11" s="424"/>
      <c r="AC11" s="424"/>
      <c r="AD11" s="474">
        <v>23</v>
      </c>
    </row>
    <row s="2983" customFormat="1" customHeight="1" ht="11.25" hidden="1">
      <c r="A12" s="1424"/>
      <c r="B12" s="1424"/>
      <c r="C12" s="1424"/>
      <c r="D12" s="1424"/>
      <c r="E12" s="1424"/>
      <c r="F12" s="1424"/>
      <c r="G12" s="1424"/>
      <c r="H12" s="1424"/>
      <c r="L12" s="2661"/>
      <c r="M12" s="2661"/>
      <c r="N12" s="1343"/>
      <c r="O12" s="382"/>
      <c r="P12" s="382"/>
      <c r="Q12" s="382"/>
      <c r="R12" s="382"/>
      <c r="S12" s="382"/>
      <c r="T12" s="382"/>
      <c r="U12" s="382"/>
      <c r="V12" s="334" t="s">
        <v>557</v>
      </c>
      <c r="Y12" s="424"/>
      <c r="Z12" s="424"/>
      <c r="AA12" s="424"/>
      <c r="AB12" s="424"/>
      <c r="AC12" s="424"/>
      <c r="AD12" s="474">
        <v>0</v>
      </c>
    </row>
    <row customHeight="1" ht="14.699999999999998">
      <c r="J13" s="432"/>
      <c r="K13" s="432"/>
      <c r="L13" s="1331"/>
      <c r="M13" s="419"/>
      <c r="N13" s="1300"/>
      <c r="O13" s="2308"/>
      <c r="P13" s="2308"/>
      <c r="Q13" s="2308"/>
      <c r="R13" s="2308"/>
      <c r="S13" s="2308"/>
      <c r="T13" s="2308"/>
      <c r="U13" s="2308"/>
      <c r="V13" s="2308"/>
      <c r="AD13" s="1211">
        <v>14</v>
      </c>
    </row>
    <row customHeight="1" ht="14.699999999999998">
      <c r="J14" s="432"/>
      <c r="K14" s="432"/>
      <c r="L14" s="2183" t="s">
        <v>432</v>
      </c>
      <c r="M14" s="2183"/>
      <c r="N14" s="2183"/>
      <c r="O14" s="2183"/>
      <c r="P14" s="2183"/>
      <c r="Q14" s="2183"/>
      <c r="R14" s="2183"/>
      <c r="S14" s="2183"/>
      <c r="T14" s="2183"/>
      <c r="U14" s="2183"/>
      <c r="V14" s="2183"/>
      <c r="W14" s="2183"/>
      <c r="X14" s="2183" t="s">
        <v>433</v>
      </c>
      <c r="AD14" s="1211">
        <v>14</v>
      </c>
    </row>
    <row customHeight="1" ht="14.699999999999998">
      <c r="J15" s="432"/>
      <c r="K15" s="432"/>
      <c r="L15" s="2329" t="s">
        <v>92</v>
      </c>
      <c r="M15" s="2265" t="s">
        <v>558</v>
      </c>
      <c r="N15" s="357"/>
      <c r="O15" s="2330" t="s">
        <v>2364</v>
      </c>
      <c r="P15" s="2331"/>
      <c r="Q15" s="2331"/>
      <c r="R15" s="2331"/>
      <c r="S15" s="2331"/>
      <c r="T15" s="2331"/>
      <c r="U15" s="2332"/>
      <c r="V15" s="2333" t="s">
        <v>560</v>
      </c>
      <c r="W15" s="2336" t="s">
        <v>1285</v>
      </c>
      <c r="X15" s="2183"/>
      <c r="AD15" s="1211">
        <v>14</v>
      </c>
    </row>
    <row customHeight="1" ht="35.699999999999996">
      <c r="J16" s="432"/>
      <c r="K16" s="432"/>
      <c r="L16" s="2329"/>
      <c r="M16" s="2265"/>
      <c r="N16" s="1087"/>
      <c r="O16" s="2316" t="s">
        <v>563</v>
      </c>
      <c r="P16" s="2316" t="s">
        <v>564</v>
      </c>
      <c r="Q16" s="2318" t="s">
        <v>565</v>
      </c>
      <c r="R16" s="2319"/>
      <c r="S16" s="2318" t="s">
        <v>578</v>
      </c>
      <c r="T16" s="2325"/>
      <c r="U16" s="2319"/>
      <c r="V16" s="2334"/>
      <c r="W16" s="2337"/>
      <c r="X16" s="2183"/>
      <c r="AD16" s="1211">
        <v>34</v>
      </c>
    </row>
    <row customHeight="1" ht="35.699999999999996">
      <c r="A17" s="1426" t="s">
        <v>213</v>
      </c>
      <c r="B17" s="1426" t="s">
        <v>214</v>
      </c>
      <c r="C17" s="1426" t="s">
        <v>215</v>
      </c>
      <c r="D17" s="1426" t="s">
        <v>216</v>
      </c>
      <c r="E17" s="1426"/>
      <c r="J17" s="432"/>
      <c r="K17" s="432"/>
      <c r="L17" s="2329"/>
      <c r="M17" s="2265"/>
      <c r="N17" s="358"/>
      <c r="O17" s="2317"/>
      <c r="P17" s="2317"/>
      <c r="Q17" s="1278" t="s">
        <v>574</v>
      </c>
      <c r="R17" s="1278" t="s">
        <v>575</v>
      </c>
      <c r="S17" s="1348" t="s">
        <v>576</v>
      </c>
      <c r="T17" s="2326" t="s">
        <v>577</v>
      </c>
      <c r="U17" s="2327"/>
      <c r="V17" s="2335"/>
      <c r="W17" s="2338"/>
      <c r="X17" s="2183"/>
      <c r="AD17" s="1211">
        <v>34</v>
      </c>
    </row>
    <row s="3442" customFormat="1" customHeight="1" ht="11.549999999999999">
      <c r="A18" s="1426"/>
      <c r="B18" s="1426"/>
      <c r="C18" s="1426"/>
      <c r="D18" s="1426"/>
      <c r="E18" s="1426"/>
      <c r="F18" s="1418"/>
      <c r="G18" s="1418"/>
      <c r="H18" s="1418"/>
      <c r="I18" s="1302"/>
      <c r="J18" s="1303"/>
      <c r="K18" s="1310">
        <v>1</v>
      </c>
      <c r="L18" s="1333" t="s">
        <v>191</v>
      </c>
      <c r="M18" s="1311" t="s">
        <v>108</v>
      </c>
      <c r="N18" s="1301" t="str">
        <f>OFFSET(N18,0,-1)</f>
        <v>2</v>
      </c>
      <c r="O18" s="1345">
        <f>OFFSET(O18,0,-1)+1</f>
        <v>3</v>
      </c>
      <c r="P18" s="1345"/>
      <c r="Q18" s="1345">
        <f>OFFSET(Q18,0,-1)+1</f>
        <v>1</v>
      </c>
      <c r="R18" s="1345">
        <f>OFFSET(R18,0,-1)+1</f>
        <v>2</v>
      </c>
      <c r="S18" s="1345">
        <f>OFFSET(S18,0,-1)+1</f>
        <v>3</v>
      </c>
      <c r="T18" s="2328">
        <f>OFFSET(T18,0,-1)+1</f>
        <v>4</v>
      </c>
      <c r="U18" s="2328"/>
      <c r="V18" s="1345">
        <f>OFFSET(V18,0,-2)+1</f>
        <v>5</v>
      </c>
      <c r="W18" s="1301">
        <f>OFFSET(W18,0,-1)</f>
        <v>5</v>
      </c>
      <c r="X18" s="1345">
        <f>OFFSET(X18,0,-1)+1</f>
        <v>6</v>
      </c>
      <c r="Y18" s="567"/>
      <c r="Z18" s="567"/>
      <c r="AA18" s="567"/>
      <c r="AB18" s="567"/>
      <c r="AC18" s="567"/>
      <c r="AD18" s="552">
        <v>11</v>
      </c>
    </row>
    <row customHeight="1" ht="21">
      <c r="A19" s="1419" t="s">
        <v>241</v>
      </c>
      <c r="B19" s="1419" t="s">
        <v>242</v>
      </c>
      <c r="C19" s="1419" t="s">
        <v>243</v>
      </c>
      <c r="D19" s="1419" t="s">
        <v>244</v>
      </c>
      <c r="E19" s="1419"/>
      <c r="F19" s="1421"/>
      <c r="G19" s="1421"/>
      <c r="H19" s="1421"/>
      <c r="I19" s="417"/>
      <c r="J19" s="416"/>
      <c r="K19" s="411"/>
      <c r="L19" s="1349">
        <f>INDEX(PT_DIFFERENTIATION_NUM_NTAR,MATCH(A19,PT_DIFFERENTIATION_NTAR_ID,0))</f>
        <v>0</v>
      </c>
      <c r="M19" s="354" t="s">
        <v>202</v>
      </c>
      <c r="N19" s="356"/>
      <c r="O19" s="2662" t="str">
        <f>INDEX(PT_DIFFERENTIATION_NTAR,MATCH(A19,PT_DIFFERENTIATION_NTAR_ID,0))</f>
        <v/>
      </c>
      <c r="P19" s="2662"/>
      <c r="Q19" s="2662"/>
      <c r="R19" s="2662"/>
      <c r="S19" s="2662"/>
      <c r="T19" s="2662"/>
      <c r="U19" s="2662"/>
      <c r="V19" s="2662"/>
      <c r="W19" s="2662"/>
      <c r="X19" s="1314" t="s">
        <v>528</v>
      </c>
      <c r="Z19" s="556"/>
      <c r="AA19" s="556" t="str">
        <f>IF(M19="","",M19)</f>
        <v>Наименование тарифа</v>
      </c>
      <c r="AB19" s="556"/>
      <c r="AC19" s="556"/>
      <c r="AD19" s="1211">
        <v>20</v>
      </c>
    </row>
    <row customHeight="1" ht="21">
      <c r="A20" s="1419" t="s">
        <v>241</v>
      </c>
      <c r="B20" s="1419" t="s">
        <v>242</v>
      </c>
      <c r="C20" s="1419" t="s">
        <v>243</v>
      </c>
      <c r="D20" s="1419" t="s">
        <v>244</v>
      </c>
      <c r="E20" s="1419"/>
      <c r="F20" s="1421"/>
      <c r="G20" s="1421"/>
      <c r="H20" s="1421"/>
      <c r="I20" s="1346"/>
      <c r="J20" s="408"/>
      <c r="K20" s="409"/>
      <c r="L20" s="1349" t="str">
        <f>INDEX(PT_DIFFERENTIATION_NUM_TER,MATCH(B19,PT_DIFFERENTIATION_TER_ID,0))</f>
        <v>.</v>
      </c>
      <c r="M20" s="364" t="s">
        <v>529</v>
      </c>
      <c r="N20" s="356"/>
      <c r="O20" s="2662" t="str">
        <f>INDEX(PT_DIFFERENTIATION_TER,MATCH(B19,PT_DIFFERENTIATION_TER_ID,0))</f>
        <v/>
      </c>
      <c r="P20" s="2662"/>
      <c r="Q20" s="2662"/>
      <c r="R20" s="2662"/>
      <c r="S20" s="2662"/>
      <c r="T20" s="2662"/>
      <c r="U20" s="2662"/>
      <c r="V20" s="2662"/>
      <c r="W20" s="2662"/>
      <c r="X20" s="1314" t="s">
        <v>530</v>
      </c>
      <c r="Z20" s="556"/>
      <c r="AA20" s="556" t="str">
        <f>IF(M20="","",M20)</f>
        <v>Территория действия тарифа</v>
      </c>
      <c r="AB20" s="556"/>
      <c r="AC20" s="556"/>
      <c r="AD20" s="1211">
        <v>20</v>
      </c>
    </row>
    <row customHeight="1" ht="24">
      <c r="A21" s="1419" t="s">
        <v>241</v>
      </c>
      <c r="B21" s="1419" t="s">
        <v>242</v>
      </c>
      <c r="C21" s="1419" t="s">
        <v>243</v>
      </c>
      <c r="D21" s="1419" t="s">
        <v>244</v>
      </c>
      <c r="E21" s="1419"/>
      <c r="F21" s="1421"/>
      <c r="G21" s="1421"/>
      <c r="H21" s="1421"/>
      <c r="I21" s="410"/>
      <c r="J21" s="408"/>
      <c r="K21" s="409"/>
      <c r="L21" s="1349" t="str">
        <f>INDEX(PT_DIFFERENTIATION_NUM_CS,MATCH(C19,PT_DIFFERENTIATION_CS_ID,0))</f>
        <v>..</v>
      </c>
      <c r="M21" s="365" t="s">
        <v>531</v>
      </c>
      <c r="N21" s="356"/>
      <c r="O21" s="2662" t="str">
        <f>INDEX(PT_DIFFERENTIATION_CS,MATCH(C19,PT_DIFFERENTIATION_CS_ID,0))</f>
        <v/>
      </c>
      <c r="P21" s="2662"/>
      <c r="Q21" s="2662"/>
      <c r="R21" s="2662"/>
      <c r="S21" s="2662"/>
      <c r="T21" s="2662"/>
      <c r="U21" s="2662"/>
      <c r="V21" s="2662"/>
      <c r="W21" s="2662"/>
      <c r="X21" s="1314" t="s">
        <v>532</v>
      </c>
      <c r="Z21" s="556"/>
      <c r="AA21" s="556" t="str">
        <f>IF(M21="","",M21)</f>
        <v>Наименование системы теплоснабжения </v>
      </c>
      <c r="AB21" s="556"/>
      <c r="AC21" s="556"/>
      <c r="AD21" s="1211">
        <v>23</v>
      </c>
    </row>
    <row customHeight="1" ht="21">
      <c r="A22" s="1419" t="s">
        <v>241</v>
      </c>
      <c r="B22" s="1419" t="s">
        <v>242</v>
      </c>
      <c r="C22" s="1419" t="s">
        <v>243</v>
      </c>
      <c r="D22" s="1419" t="s">
        <v>244</v>
      </c>
      <c r="E22" s="1419"/>
      <c r="F22" s="1421"/>
      <c r="G22" s="1421"/>
      <c r="H22" s="1421"/>
      <c r="I22" s="410"/>
      <c r="J22" s="408"/>
      <c r="K22" s="409"/>
      <c r="L22" s="1349" t="str">
        <f>INDEX(PT_DIFFERENTIATION_NUM_IST_TE,MATCH(D19,PT_DIFFERENTIATION_IST_TE_ID,0))</f>
        <v>...</v>
      </c>
      <c r="M22" s="366" t="s">
        <v>533</v>
      </c>
      <c r="N22" s="356"/>
      <c r="O22" s="2662" t="str">
        <f>INDEX(PT_DIFFERENTIATION_IST_TE,MATCH(D19,PT_DIFFERENTIATION_IST_TE_ID,0))</f>
        <v/>
      </c>
      <c r="P22" s="2662"/>
      <c r="Q22" s="2662"/>
      <c r="R22" s="2662"/>
      <c r="S22" s="2662"/>
      <c r="T22" s="2662"/>
      <c r="U22" s="2662"/>
      <c r="V22" s="2662"/>
      <c r="W22" s="2662"/>
      <c r="X22" s="1314" t="s">
        <v>534</v>
      </c>
      <c r="Z22" s="556"/>
      <c r="AA22" s="556" t="str">
        <f>IF(M22="","",M22)</f>
        <v>Источник тепловой энергии  </v>
      </c>
      <c r="AB22" s="556"/>
      <c r="AC22" s="556"/>
      <c r="AD22" s="1211">
        <v>20</v>
      </c>
    </row>
    <row customHeight="1" ht="96.75">
      <c r="A23" s="1419" t="s">
        <v>241</v>
      </c>
      <c r="B23" s="1419" t="s">
        <v>242</v>
      </c>
      <c r="C23" s="1419" t="s">
        <v>243</v>
      </c>
      <c r="D23" s="1419" t="s">
        <v>244</v>
      </c>
      <c r="E23" s="1419"/>
      <c r="F23" s="2663" t="str">
        <f>L22&amp;".1"</f>
        <v>....1</v>
      </c>
      <c r="I23" s="2313">
        <v>1</v>
      </c>
      <c r="J23" s="1347"/>
      <c r="K23" s="412"/>
      <c r="L23" s="1349" t="str">
        <f>$F$23</f>
        <v>....1</v>
      </c>
      <c r="M23" s="341" t="s">
        <v>536</v>
      </c>
      <c r="N23" s="356"/>
      <c r="O23" s="2361"/>
      <c r="P23" s="2361"/>
      <c r="Q23" s="2361"/>
      <c r="R23" s="2361"/>
      <c r="S23" s="2361"/>
      <c r="T23" s="2361"/>
      <c r="U23" s="2361"/>
      <c r="V23" s="2361"/>
      <c r="W23" s="2361"/>
      <c r="X23" s="1314" t="s">
        <v>537</v>
      </c>
      <c r="Z23" s="556"/>
      <c r="AA23" s="556" t="str">
        <f>IF(M23="","",M23)</f>
        <v>Схема подключения теплопотребляющей установки к коллектору источника тепловой энергии</v>
      </c>
      <c r="AB23" s="556"/>
      <c r="AC23" s="556"/>
      <c r="AD23" s="1211">
        <v>92</v>
      </c>
    </row>
    <row customHeight="1" ht="86.25">
      <c r="A24" s="1419" t="s">
        <v>241</v>
      </c>
      <c r="B24" s="1419" t="s">
        <v>242</v>
      </c>
      <c r="C24" s="1419" t="s">
        <v>243</v>
      </c>
      <c r="D24" s="1419" t="s">
        <v>244</v>
      </c>
      <c r="E24" s="1419"/>
      <c r="F24" s="2663"/>
      <c r="G24" s="2273" t="str">
        <f>F23&amp;".1"</f>
        <v>....1.1</v>
      </c>
      <c r="I24" s="2313"/>
      <c r="J24" s="2313">
        <v>1</v>
      </c>
      <c r="K24" s="413"/>
      <c r="L24" s="1349" t="str">
        <f>$G$24</f>
        <v>....1.1</v>
      </c>
      <c r="M24" s="342" t="s">
        <v>539</v>
      </c>
      <c r="N24" s="356"/>
      <c r="O24" s="2301"/>
      <c r="P24" s="2302"/>
      <c r="Q24" s="2302"/>
      <c r="R24" s="2302"/>
      <c r="S24" s="2302"/>
      <c r="T24" s="2302"/>
      <c r="U24" s="2302"/>
      <c r="V24" s="2302"/>
      <c r="W24" s="2303"/>
      <c r="X24" s="1314" t="s">
        <v>540</v>
      </c>
      <c r="Z24" s="556"/>
      <c r="AA24" s="556" t="str">
        <f>IF(M24="","",M24)</f>
        <v>Группа потребителей</v>
      </c>
      <c r="AB24" s="556"/>
      <c r="AC24" s="556"/>
      <c r="AD24" s="1211">
        <v>82</v>
      </c>
    </row>
    <row customHeight="1" ht="11.549999999999999">
      <c r="A25" s="1419" t="s">
        <v>241</v>
      </c>
      <c r="B25" s="1419" t="s">
        <v>242</v>
      </c>
      <c r="C25" s="1419" t="s">
        <v>243</v>
      </c>
      <c r="D25" s="1419" t="s">
        <v>244</v>
      </c>
      <c r="E25" s="1419"/>
      <c r="F25" s="2663"/>
      <c r="G25" s="2273"/>
      <c r="H25" s="2273" t="str">
        <f>G24&amp;".1"</f>
        <v>....1.1.1</v>
      </c>
      <c r="I25" s="2313"/>
      <c r="J25" s="2313"/>
      <c r="K25" s="413">
        <v>1</v>
      </c>
      <c r="L25" s="1349" t="str">
        <f>$H$25</f>
        <v>....1.1.1</v>
      </c>
      <c r="M25" s="1403"/>
      <c r="N25" s="356"/>
      <c r="O25" s="807"/>
      <c r="P25" s="381"/>
      <c r="Q25" s="807"/>
      <c r="R25" s="1313"/>
      <c r="S25" s="2658"/>
      <c r="T25" s="2163" t="s">
        <v>65</v>
      </c>
      <c r="U25" s="2658"/>
      <c r="V25" s="2163" t="s">
        <v>19</v>
      </c>
      <c r="W25" s="381"/>
      <c r="X25" s="2309" t="s">
        <v>542</v>
      </c>
      <c r="Y25" s="567">
        <f>STRCHECKDATE(O26:W26)</f>
      </c>
      <c r="Z25" s="556"/>
      <c r="AA25" s="556" t="str">
        <f>IF(M25="","",M25)</f>
        <v/>
      </c>
      <c r="AB25" s="556"/>
      <c r="AC25" s="556"/>
      <c r="AD25" s="1211">
        <v>11</v>
      </c>
    </row>
    <row customHeight="1" ht="11.549999999999999">
      <c r="A26" s="1419" t="s">
        <v>241</v>
      </c>
      <c r="B26" s="1419" t="s">
        <v>242</v>
      </c>
      <c r="C26" s="1419" t="s">
        <v>243</v>
      </c>
      <c r="D26" s="1419" t="s">
        <v>244</v>
      </c>
      <c r="E26" s="1419"/>
      <c r="F26" s="2663"/>
      <c r="G26" s="2273"/>
      <c r="H26" s="2273"/>
      <c r="I26" s="2313"/>
      <c r="J26" s="2313"/>
      <c r="K26" s="413"/>
      <c r="L26" s="1350"/>
      <c r="M26" s="356"/>
      <c r="N26" s="356"/>
      <c r="O26" s="381"/>
      <c r="P26" s="381"/>
      <c r="Q26" s="381"/>
      <c r="R26" s="384" t="str">
        <f>S25&amp;"-"&amp;U25</f>
        <v>-</v>
      </c>
      <c r="S26" s="2322"/>
      <c r="T26" s="2163"/>
      <c r="U26" s="2322"/>
      <c r="V26" s="2163"/>
      <c r="W26" s="381"/>
      <c r="X26" s="2310"/>
      <c r="Z26" s="556"/>
      <c r="AA26" s="556" t="str">
        <f>IF(M26="","",M26)</f>
        <v/>
      </c>
      <c r="AB26" s="556"/>
      <c r="AC26" s="556"/>
      <c r="AD26" s="1211">
        <v>11</v>
      </c>
    </row>
    <row customHeight="1" ht="15.75">
      <c r="A27" s="1419" t="s">
        <v>241</v>
      </c>
      <c r="B27" s="1419" t="s">
        <v>242</v>
      </c>
      <c r="C27" s="1419" t="s">
        <v>243</v>
      </c>
      <c r="D27" s="1419" t="s">
        <v>244</v>
      </c>
      <c r="E27" s="1419"/>
      <c r="F27" s="2663"/>
      <c r="G27" s="2273"/>
      <c r="I27" s="2313"/>
      <c r="J27" s="2313"/>
      <c r="K27" s="412"/>
      <c r="L27" s="1334"/>
      <c r="M27" s="344" t="s">
        <v>543</v>
      </c>
      <c r="N27" s="423"/>
      <c r="O27" s="423"/>
      <c r="P27" s="423"/>
      <c r="Q27" s="423"/>
      <c r="R27" s="423"/>
      <c r="S27" s="423"/>
      <c r="T27" s="423"/>
      <c r="U27" s="423"/>
      <c r="V27" s="423"/>
      <c r="W27" s="380"/>
      <c r="X27" s="2311"/>
      <c r="Z27" s="556"/>
      <c r="AA27" s="556" t="str">
        <f>IF(M27="","",M27)</f>
        <v>Добавить вид теплоносителя (параметры теплоносителя)</v>
      </c>
      <c r="AB27" s="556"/>
      <c r="AC27" s="556"/>
      <c r="AD27" s="1211">
        <v>15</v>
      </c>
    </row>
    <row customHeight="1" ht="15.75">
      <c r="A28" s="1419" t="s">
        <v>241</v>
      </c>
      <c r="B28" s="1419" t="s">
        <v>242</v>
      </c>
      <c r="C28" s="1419" t="s">
        <v>243</v>
      </c>
      <c r="D28" s="1419" t="s">
        <v>244</v>
      </c>
      <c r="E28" s="1419"/>
      <c r="F28" s="2663"/>
      <c r="I28" s="2313"/>
      <c r="J28" s="1347"/>
      <c r="K28" s="412"/>
      <c r="L28" s="1334"/>
      <c r="M28" s="343" t="s">
        <v>544</v>
      </c>
      <c r="N28" s="423"/>
      <c r="O28" s="423"/>
      <c r="P28" s="423"/>
      <c r="Q28" s="423"/>
      <c r="R28" s="423"/>
      <c r="S28" s="423"/>
      <c r="T28" s="423"/>
      <c r="U28" s="423"/>
      <c r="V28" s="422"/>
      <c r="W28" s="423"/>
      <c r="X28" s="359"/>
      <c r="Z28" s="556"/>
      <c r="AA28" s="556" t="str">
        <f>IF(M28="","",M28)</f>
        <v>Добавить группу потребителей</v>
      </c>
      <c r="AB28" s="556"/>
      <c r="AC28" s="556"/>
      <c r="AD28" s="1211">
        <v>15</v>
      </c>
    </row>
    <row customHeight="1" ht="14.699999999999998">
      <c r="A29" s="1419" t="s">
        <v>241</v>
      </c>
      <c r="B29" s="1419" t="s">
        <v>242</v>
      </c>
      <c r="C29" s="1419" t="s">
        <v>243</v>
      </c>
      <c r="D29" s="1419" t="s">
        <v>244</v>
      </c>
      <c r="E29" s="1419"/>
      <c r="F29" s="1421"/>
      <c r="G29" s="1421"/>
      <c r="H29" s="593"/>
      <c r="I29" s="416"/>
      <c r="J29" s="431"/>
      <c r="K29" s="411"/>
      <c r="L29" s="1334"/>
      <c r="M29" s="421" t="s">
        <v>545</v>
      </c>
      <c r="N29" s="423"/>
      <c r="O29" s="423"/>
      <c r="P29" s="423"/>
      <c r="Q29" s="423"/>
      <c r="R29" s="423"/>
      <c r="S29" s="423"/>
      <c r="T29" s="423"/>
      <c r="U29" s="423"/>
      <c r="V29" s="422"/>
      <c r="W29" s="423"/>
      <c r="X29" s="359"/>
      <c r="Z29" s="556"/>
      <c r="AA29" s="556" t="str">
        <f>IF(M29="","",M29)</f>
        <v>Добавить схему подключения</v>
      </c>
      <c r="AB29" s="556"/>
      <c r="AC29" s="556"/>
      <c r="AD29" s="1211">
        <v>14</v>
      </c>
    </row>
    <row customHeight="1" ht="14.699999999999998">
      <c r="A30" s="1419" t="s">
        <v>241</v>
      </c>
      <c r="B30" s="1419" t="s">
        <v>242</v>
      </c>
      <c r="C30" s="1419" t="s">
        <v>243</v>
      </c>
      <c r="D30" s="1419"/>
      <c r="E30" s="1419" t="s">
        <v>719</v>
      </c>
      <c r="F30" s="1421"/>
      <c r="G30" s="1421"/>
      <c r="H30" s="593"/>
      <c r="I30" s="416"/>
      <c r="J30" s="431"/>
      <c r="K30" s="411"/>
      <c r="L30" s="1335"/>
      <c r="M30" s="1324"/>
      <c r="N30" s="1325"/>
      <c r="O30" s="1325"/>
      <c r="P30" s="1325"/>
      <c r="Q30" s="1325"/>
      <c r="R30" s="1325"/>
      <c r="S30" s="1325"/>
      <c r="T30" s="1325"/>
      <c r="U30" s="1325"/>
      <c r="V30" s="1326"/>
      <c r="W30" s="1325"/>
      <c r="X30" s="1327"/>
      <c r="Z30" s="556"/>
      <c r="AA30" s="556" t="str">
        <f>IF(M30="","",M30)</f>
        <v/>
      </c>
      <c r="AB30" s="556"/>
      <c r="AC30" s="556"/>
      <c r="AD30" s="1211">
        <v>14</v>
      </c>
    </row>
    <row customHeight="1" ht="14.699999999999998">
      <c r="A31" s="1419" t="s">
        <v>241</v>
      </c>
      <c r="B31" s="1419" t="s">
        <v>242</v>
      </c>
      <c r="C31" s="1419"/>
      <c r="D31" s="1419"/>
      <c r="E31" s="1419" t="s">
        <v>2365</v>
      </c>
      <c r="F31" s="1573"/>
      <c r="G31" s="1573"/>
      <c r="H31" s="593"/>
      <c r="I31" s="414"/>
      <c r="J31" s="431"/>
      <c r="K31" s="415"/>
      <c r="L31" s="1335"/>
      <c r="M31" s="1328"/>
      <c r="N31" s="1325"/>
      <c r="O31" s="1325"/>
      <c r="P31" s="1325"/>
      <c r="Q31" s="1325"/>
      <c r="R31" s="1325"/>
      <c r="S31" s="1325"/>
      <c r="T31" s="1325"/>
      <c r="U31" s="1325"/>
      <c r="V31" s="1326"/>
      <c r="W31" s="1325"/>
      <c r="X31" s="1327"/>
      <c r="Z31" s="556"/>
      <c r="AA31" s="556" t="str">
        <f>IF(M31="","",M31)</f>
        <v/>
      </c>
      <c r="AB31" s="556"/>
      <c r="AC31" s="556"/>
      <c r="AD31" s="1211">
        <v>14</v>
      </c>
    </row>
    <row customHeight="1" ht="14.699999999999998">
      <c r="A32" s="1419" t="s">
        <v>2366</v>
      </c>
      <c r="B32" s="1419"/>
      <c r="C32" s="1419"/>
      <c r="D32" s="1419"/>
      <c r="E32" s="1419" t="s">
        <v>186</v>
      </c>
      <c r="F32" s="1573"/>
      <c r="G32" s="1573"/>
      <c r="H32" s="593"/>
      <c r="I32" s="416"/>
      <c r="J32" s="431"/>
      <c r="K32" s="411"/>
      <c r="L32" s="1335"/>
      <c r="M32" s="1329"/>
      <c r="N32" s="1325"/>
      <c r="O32" s="1325"/>
      <c r="P32" s="1325"/>
      <c r="Q32" s="1325"/>
      <c r="R32" s="1325"/>
      <c r="S32" s="1325"/>
      <c r="T32" s="1325"/>
      <c r="U32" s="1325"/>
      <c r="V32" s="1326"/>
      <c r="W32" s="1325"/>
      <c r="X32" s="1327"/>
      <c r="Z32" s="556"/>
      <c r="AA32" s="556" t="str">
        <f>IF(M32="","",M32)</f>
        <v/>
      </c>
      <c r="AB32" s="556"/>
      <c r="AC32" s="556"/>
      <c r="AD32" s="1211">
        <v>14</v>
      </c>
    </row>
    <row s="2911" customFormat="1" customHeight="1" ht="11.549999999999999">
      <c r="A33" s="1419"/>
      <c r="B33" s="1419"/>
      <c r="C33" s="1419"/>
      <c r="D33" s="1419"/>
      <c r="E33" s="1419" t="s">
        <v>360</v>
      </c>
      <c r="F33" s="1574"/>
      <c r="G33" s="1575"/>
      <c r="H33" s="593"/>
      <c r="L33" s="1336"/>
      <c r="M33" s="1330"/>
      <c r="N33" s="1325"/>
      <c r="O33" s="1325"/>
      <c r="P33" s="1325"/>
      <c r="Q33" s="1325"/>
      <c r="R33" s="1325"/>
      <c r="S33" s="1325"/>
      <c r="T33" s="1325"/>
      <c r="U33" s="1325"/>
      <c r="V33" s="1326"/>
      <c r="W33" s="1325"/>
      <c r="X33" s="1327"/>
      <c r="Y33" s="435"/>
      <c r="Z33" s="435"/>
      <c r="AA33" s="435"/>
      <c r="AB33" s="435"/>
      <c r="AC33" s="435"/>
      <c r="AD33" s="429">
        <v>11</v>
      </c>
    </row>
    <row customHeight="1" ht="11.549999999999999">
      <c r="F34" s="1216"/>
      <c r="G34" s="1216"/>
      <c r="H34" s="593"/>
      <c r="I34" s="1211"/>
      <c r="J34" s="1211"/>
      <c r="K34" s="1211"/>
      <c r="Y34" s="1211"/>
      <c r="Z34" s="1211"/>
      <c r="AA34" s="1211"/>
      <c r="AB34" s="1211"/>
      <c r="AC34" s="1211"/>
      <c r="AD34" s="1211">
        <v>11</v>
      </c>
    </row>
    <row customHeight="1" ht="28.5">
      <c r="H35" s="593"/>
      <c r="L35" s="1344" t="s">
        <v>936</v>
      </c>
      <c r="M35" s="2341" t="s">
        <v>2367</v>
      </c>
      <c r="N35" s="2341"/>
      <c r="O35" s="2341"/>
      <c r="P35" s="2341"/>
      <c r="Q35" s="2341"/>
      <c r="R35" s="2341"/>
      <c r="S35" s="2341"/>
      <c r="T35" s="2341"/>
      <c r="U35" s="2341"/>
      <c r="V35" s="2341"/>
      <c r="W35" s="2341"/>
      <c r="X35" s="2341"/>
      <c r="AD35" s="1211">
        <v>27</v>
      </c>
    </row>
    <row customHeight="1" ht="109.19999999999999">
      <c r="H36" s="593"/>
      <c r="I36" s="1359"/>
      <c r="M36" s="2341" t="s">
        <v>2368</v>
      </c>
      <c r="N36" s="2341"/>
      <c r="O36" s="2341"/>
      <c r="P36" s="2341"/>
      <c r="Q36" s="2341"/>
      <c r="R36" s="2341"/>
      <c r="S36" s="2341"/>
      <c r="T36" s="2341"/>
      <c r="U36" s="2341"/>
      <c r="V36" s="2341"/>
      <c r="W36" s="2341"/>
      <c r="X36" s="2341"/>
      <c r="AD36" s="1211">
        <v>104</v>
      </c>
    </row>
    <row customHeight="1" ht="14.699999999999998">
      <c r="H37" s="593"/>
      <c r="AD37" s="1211">
        <v>14</v>
      </c>
    </row>
    <row customHeight="1" ht="14.699999999999998">
      <c r="H38" s="593"/>
      <c r="AD38" s="1211">
        <v>14</v>
      </c>
    </row>
    <row customHeight="1" ht="14.699999999999998">
      <c r="H39" s="593"/>
      <c r="AD39" s="1211">
        <v>14</v>
      </c>
    </row>
    <row customHeight="1" ht="14.699999999999998">
      <c r="H40" s="593"/>
      <c r="AD40" s="1211">
        <v>14</v>
      </c>
    </row>
    <row customHeight="1" ht="22.5" hidden="1">
      <c r="A41" s="1216" t="s">
        <v>86</v>
      </c>
      <c r="B41" s="1216">
        <v>0</v>
      </c>
      <c r="C41" s="1216">
        <v>0</v>
      </c>
      <c r="D41" s="1216">
        <v>0</v>
      </c>
      <c r="E41" s="1216">
        <v>0</v>
      </c>
      <c r="F41" s="1418">
        <v>0</v>
      </c>
      <c r="G41" s="1418">
        <v>0</v>
      </c>
      <c r="H41" s="1418">
        <v>0</v>
      </c>
      <c r="I41" s="1342">
        <v>3</v>
      </c>
      <c r="J41" s="400">
        <v>3</v>
      </c>
      <c r="K41" s="400">
        <v>3</v>
      </c>
      <c r="L41" s="637">
        <v>12</v>
      </c>
      <c r="M41" s="1211">
        <v>31</v>
      </c>
      <c r="N41" s="1211">
        <v>1</v>
      </c>
      <c r="O41" s="1211">
        <v>24</v>
      </c>
      <c r="P41" s="1211">
        <v>24</v>
      </c>
      <c r="Q41" s="1211">
        <v>24</v>
      </c>
      <c r="R41" s="1211">
        <v>24</v>
      </c>
      <c r="S41" s="1211">
        <v>11</v>
      </c>
      <c r="T41" s="1211">
        <v>3</v>
      </c>
      <c r="U41" s="1211">
        <v>11</v>
      </c>
      <c r="V41" s="1211">
        <v>8</v>
      </c>
      <c r="W41" s="1211">
        <v>4</v>
      </c>
      <c r="X41" s="1211">
        <v>115</v>
      </c>
      <c r="Y41" s="567">
        <v>10</v>
      </c>
      <c r="Z41" s="567">
        <v>10</v>
      </c>
      <c r="AA41" s="567">
        <v>10</v>
      </c>
      <c r="AB41" s="567">
        <v>10</v>
      </c>
      <c r="AC41" s="567">
        <v>10</v>
      </c>
      <c r="AD41" s="1211">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C3823B-3768-8195-CE2E-DCA6E3C50BA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333DE7-6356-8A67-4FA1-515E8A67163F}"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616DFD-1C43-6908-4EBC-7FF0B8E5D94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F5897-2A9F-8553-C6BC-5683A89C83E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1B1795-5186-7098-4B47-ABED57EE1E6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1103F8-1F9E-11C9-60EF-97BA82415559}" mc:Ignorable="x14ac xr xr2 xr3">
  <sheetPr>
    <tabColor theme="3" tint="0.6"/>
  </sheetPr>
  <dimension ref="A1:J60"/>
  <sheetViews>
    <sheetView topLeftCell="A1" showGridLines="0" zoomScale="90" workbookViewId="0">
      <selection activeCell="A1" sqref="A1"/>
    </sheetView>
  </sheetViews>
  <sheetFormatPr defaultColWidth="9.140625" customHeight="1" defaultRowHeight="11.25"/>
  <cols>
    <col min="1" max="1" style="3316" width="15.00390625" hidden="1" customWidth="1"/>
    <col min="2" max="2" style="3319" width="15.00390625" hidden="1" customWidth="1"/>
    <col min="3" max="3" style="3317" width="3.00390625" customWidth="1"/>
    <col min="4" max="4" style="3399" width="6.00390625" customWidth="1"/>
    <col min="5" max="5" style="3317" width="52.00390625" customWidth="1"/>
    <col min="6" max="6" style="3317" width="48.00390625" customWidth="1"/>
    <col min="7" max="7" style="3317" width="121.00390625" customWidth="1"/>
    <col min="8" max="8" style="3317" width="8.00390625" customWidth="1"/>
    <col min="9" max="9" style="3317" width="64.00390625" customWidth="1"/>
    <col min="10" max="10" style="3317" width="9.140625" hidden="1"/>
  </cols>
  <sheetData>
    <row customHeight="1" ht="11.25" hidden="1">
      <c r="A1" s="1742" t="s">
        <v>431</v>
      </c>
      <c r="J1" s="511" t="s">
        <v>14</v>
      </c>
    </row>
    <row customHeight="1" ht="11.25" hidden="1">
      <c r="J2" s="511">
        <v>0</v>
      </c>
    </row>
    <row s="3318" customFormat="1" customHeight="1" ht="11.549999999999999">
      <c r="A3" s="1742"/>
      <c r="B3" s="557"/>
      <c r="D3" s="534"/>
      <c r="J3" s="533">
        <v>11</v>
      </c>
    </row>
    <row customHeight="1" ht="27.299999999999997">
      <c r="D4" s="2213" t="str">
        <f>ORG_INFO_NAME_FORM</f>
        <v>Форма 1. Информация об организации, осуществляющей холодное водоснабжение (общая информация)</v>
      </c>
      <c r="E4" s="2214"/>
      <c r="F4" s="2215"/>
      <c r="I4" s="771"/>
      <c r="J4" s="511">
        <v>26</v>
      </c>
    </row>
    <row customHeight="1" ht="18">
      <c r="D5" s="2232" t="str">
        <f>IF(org=0,"Не определено",org)</f>
        <v>МУП ЖКХ "Родник"</v>
      </c>
      <c r="E5" s="2232"/>
      <c r="F5" s="2232"/>
      <c r="I5" s="771"/>
      <c r="J5" s="511">
        <v>17</v>
      </c>
    </row>
    <row s="3318" customFormat="1" customHeight="1" ht="11.549999999999999">
      <c r="A6" s="1742"/>
      <c r="B6" s="557"/>
      <c r="D6" s="770"/>
      <c r="E6" s="770"/>
      <c r="F6" s="808"/>
      <c r="G6" s="770"/>
      <c r="J6" s="533">
        <v>11</v>
      </c>
    </row>
    <row customHeight="1" ht="11.25" hidden="1">
      <c r="A7" s="513"/>
      <c r="B7" s="558"/>
      <c r="C7" s="513"/>
      <c r="D7" s="519"/>
      <c r="E7" s="2263"/>
      <c r="F7" s="2263"/>
      <c r="J7" s="511">
        <v>0</v>
      </c>
    </row>
    <row customHeight="1" ht="11.549999999999999">
      <c r="A8" s="513"/>
      <c r="B8" s="558"/>
      <c r="C8" s="513"/>
      <c r="D8" s="2260" t="s">
        <v>432</v>
      </c>
      <c r="E8" s="2261"/>
      <c r="F8" s="2261"/>
      <c r="G8" s="2264" t="s">
        <v>433</v>
      </c>
      <c r="J8" s="511">
        <v>11</v>
      </c>
    </row>
    <row customHeight="1" ht="11.549999999999999">
      <c r="A9" s="513"/>
      <c r="B9" s="558"/>
      <c r="C9" s="513"/>
      <c r="D9" s="528" t="s">
        <v>92</v>
      </c>
      <c r="E9" s="502" t="s">
        <v>434</v>
      </c>
      <c r="F9" s="502" t="s">
        <v>435</v>
      </c>
      <c r="G9" s="2265"/>
      <c r="J9" s="511">
        <v>11</v>
      </c>
    </row>
    <row customHeight="1" ht="12" hidden="1">
      <c r="A10" s="513"/>
      <c r="B10" s="558"/>
      <c r="C10" s="513"/>
      <c r="D10" s="520"/>
      <c r="E10" s="520"/>
      <c r="F10" s="520"/>
      <c r="G10" s="520"/>
      <c r="J10" s="511">
        <v>0</v>
      </c>
    </row>
    <row customHeight="1" ht="22.5" hidden="1">
      <c r="A11" s="513"/>
      <c r="B11" s="558"/>
      <c r="C11" s="513"/>
      <c r="D11" s="1065" t="s">
        <v>191</v>
      </c>
      <c r="E11" s="1068" t="s">
        <v>436</v>
      </c>
      <c r="F11" s="1067" t="str">
        <f>IF(region_name="","",region_name)</f>
        <v>Курская область</v>
      </c>
      <c r="G11" s="1068" t="s">
        <v>437</v>
      </c>
      <c r="H11" s="531"/>
      <c r="J11" s="511">
        <v>0</v>
      </c>
    </row>
    <row customHeight="1" ht="22.5" hidden="1">
      <c r="A12" s="513"/>
      <c r="B12" s="558"/>
      <c r="C12" s="513"/>
      <c r="D12" s="501" t="s">
        <v>191</v>
      </c>
      <c r="E12" s="50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99" t="s">
        <v>438</v>
      </c>
      <c r="G12" s="530"/>
      <c r="H12" s="531"/>
      <c r="J12" s="511">
        <v>0</v>
      </c>
    </row>
    <row customHeight="1" ht="23.25">
      <c r="A13" s="513"/>
      <c r="B13" s="558"/>
      <c r="C13" s="513"/>
      <c r="D13" s="501" t="s">
        <v>191</v>
      </c>
      <c r="E13" s="498" t="str">
        <f>"Наименование юридического лица"&amp;IF(TEMPLATE_SPHERE="TKO"," (индивидуального предпринимателя)","")</f>
        <v>Наименование юридического лица</v>
      </c>
      <c r="F13" s="497"/>
      <c r="G13" s="50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531"/>
      <c r="J13" s="511">
        <v>22</v>
      </c>
    </row>
    <row customHeight="1" ht="22.5" hidden="1">
      <c r="A14" s="513"/>
      <c r="B14" s="558"/>
      <c r="C14" s="513"/>
      <c r="D14" s="1065" t="s">
        <v>439</v>
      </c>
      <c r="E14" s="1066" t="s">
        <v>440</v>
      </c>
      <c r="F14" s="1067" t="str">
        <f>IF(inn="","",inn)</f>
        <v>4611013586</v>
      </c>
      <c r="G14" s="1068" t="s">
        <v>441</v>
      </c>
      <c r="H14" s="531"/>
      <c r="J14" s="511">
        <v>0</v>
      </c>
    </row>
    <row customHeight="1" ht="22.5" hidden="1">
      <c r="A15" s="513"/>
      <c r="B15" s="558"/>
      <c r="C15" s="513"/>
      <c r="D15" s="1065" t="s">
        <v>442</v>
      </c>
      <c r="E15" s="1066" t="s">
        <v>443</v>
      </c>
      <c r="F15" s="1067" t="str">
        <f>IF(kpp="","",kpp)</f>
        <v>461101001</v>
      </c>
      <c r="G15" s="1068" t="s">
        <v>444</v>
      </c>
      <c r="H15" s="531"/>
      <c r="J15" s="511">
        <v>0</v>
      </c>
    </row>
    <row customHeight="1" ht="39">
      <c r="A16" s="513"/>
      <c r="B16" s="558"/>
      <c r="C16" s="513"/>
      <c r="D16" s="501" t="s">
        <v>108</v>
      </c>
      <c r="E16" s="49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97"/>
      <c r="G16" s="50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531"/>
      <c r="J16" s="511">
        <v>37</v>
      </c>
    </row>
    <row customHeight="1" ht="23.25">
      <c r="A17" s="513"/>
      <c r="B17" s="558"/>
      <c r="C17" s="513"/>
      <c r="D17" s="501" t="s">
        <v>94</v>
      </c>
      <c r="E17" s="498" t="str">
        <f>"Дата присвоения ОГРН"&amp;IF(TEMPLATE_SPHERE="TKO",""," (ОГРНИП)")</f>
        <v>Дата присвоения ОГРН (ОГРНИП)</v>
      </c>
      <c r="F17" s="1788" t="s">
        <v>28</v>
      </c>
      <c r="G17" s="500" t="str">
        <f>"Дата присвоения ОГРН"&amp;IF(TEMPLATE_SPHERE="TKO",""," (ОГРНИП)")&amp;" указывается в виде «ДД.ММ.ГГГГ»."</f>
        <v>Дата присвоения ОГРН (ОГРНИП) указывается в виде «ДД.ММ.ГГГГ».</v>
      </c>
      <c r="H17" s="531"/>
      <c r="J17" s="511">
        <v>22</v>
      </c>
    </row>
    <row customHeight="1" ht="71.25">
      <c r="A18" s="513"/>
      <c r="B18" s="558"/>
      <c r="C18" s="513"/>
      <c r="D18" s="501" t="s">
        <v>95</v>
      </c>
      <c r="E18" s="49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97"/>
      <c r="G18" s="530"/>
      <c r="H18" s="531"/>
      <c r="J18" s="511">
        <v>68</v>
      </c>
    </row>
    <row customHeight="1" ht="22.5" hidden="1">
      <c r="A19" s="2258" t="s">
        <v>445</v>
      </c>
      <c r="B19" s="558"/>
      <c r="C19" s="2269"/>
      <c r="D19" s="501" t="str">
        <f>A19</f>
        <v>5.1</v>
      </c>
      <c r="E19" s="498" t="s">
        <v>446</v>
      </c>
      <c r="F19" s="499" t="s">
        <v>438</v>
      </c>
      <c r="G19" s="500" t="s">
        <v>447</v>
      </c>
      <c r="H19" s="531"/>
      <c r="I19" s="908"/>
      <c r="J19" s="511">
        <v>0</v>
      </c>
    </row>
    <row customHeight="1" ht="24" hidden="1">
      <c r="A20" s="2258"/>
      <c r="B20" s="558"/>
      <c r="C20" s="2269"/>
      <c r="D20" s="496" t="str">
        <f>D19&amp;".1"</f>
        <v>5.1.1</v>
      </c>
      <c r="E20" s="495" t="s">
        <v>448</v>
      </c>
      <c r="F20" s="937" t="s">
        <v>28</v>
      </c>
      <c r="G20" s="530"/>
      <c r="H20" s="531"/>
      <c r="I20" s="908"/>
      <c r="J20" s="511">
        <v>0</v>
      </c>
    </row>
    <row customHeight="1" ht="22.5" hidden="1">
      <c r="A21" s="2258"/>
      <c r="B21" s="558"/>
      <c r="C21" s="2269"/>
      <c r="D21" s="496" t="str">
        <f>D19&amp;".2"</f>
        <v>5.1.2</v>
      </c>
      <c r="E21" s="495" t="s">
        <v>449</v>
      </c>
      <c r="F21" s="1789" t="s">
        <v>28</v>
      </c>
      <c r="G21" s="500" t="s">
        <v>450</v>
      </c>
      <c r="H21" s="531"/>
      <c r="I21" s="908"/>
      <c r="J21" s="511">
        <v>0</v>
      </c>
    </row>
    <row customHeight="1" ht="22.5" hidden="1">
      <c r="A22" s="2258"/>
      <c r="B22" s="558"/>
      <c r="C22" s="2269"/>
      <c r="D22" s="496" t="str">
        <f>D19&amp;".3"</f>
        <v>5.1.3</v>
      </c>
      <c r="E22" s="495" t="s">
        <v>451</v>
      </c>
      <c r="F22" s="937" t="s">
        <v>28</v>
      </c>
      <c r="G22" s="530"/>
      <c r="H22" s="531"/>
      <c r="I22" s="908"/>
      <c r="J22" s="511">
        <v>0</v>
      </c>
    </row>
    <row customHeight="1" ht="22.5" hidden="1">
      <c r="A23" s="2258"/>
      <c r="B23" s="558"/>
      <c r="C23" s="2269"/>
      <c r="D23" s="496" t="str">
        <f>D19&amp;".4"</f>
        <v>5.1.4</v>
      </c>
      <c r="E23" s="495" t="s">
        <v>452</v>
      </c>
      <c r="F23" s="937" t="s">
        <v>28</v>
      </c>
      <c r="G23" s="500" t="s">
        <v>453</v>
      </c>
      <c r="H23" s="531"/>
      <c r="I23" s="908"/>
      <c r="J23" s="511">
        <v>0</v>
      </c>
    </row>
    <row customHeight="1" ht="22.5" hidden="1">
      <c r="A24" s="2034"/>
      <c r="B24" s="558"/>
      <c r="C24" s="548"/>
      <c r="D24" s="523"/>
      <c r="E24" s="1224" t="s">
        <v>454</v>
      </c>
      <c r="F24" s="524"/>
      <c r="G24" s="525"/>
      <c r="H24" s="531"/>
      <c r="I24" s="908"/>
      <c r="J24" s="511">
        <v>0</v>
      </c>
    </row>
    <row s="3319" customFormat="1" customHeight="1" ht="24.75" hidden="1">
      <c r="A25" s="513"/>
      <c r="B25" s="558"/>
      <c r="C25" s="558"/>
      <c r="D25" s="1062" t="s">
        <v>94</v>
      </c>
      <c r="E25" s="1064" t="s">
        <v>455</v>
      </c>
      <c r="F25" s="1069" t="s">
        <v>438</v>
      </c>
      <c r="G25" s="1064"/>
      <c r="J25" s="557">
        <v>0</v>
      </c>
    </row>
    <row s="3319" customFormat="1" customHeight="1" ht="11.25" hidden="1">
      <c r="A26" s="513"/>
      <c r="B26" s="558"/>
      <c r="C26" s="558"/>
      <c r="D26" s="1062" t="s">
        <v>456</v>
      </c>
      <c r="E26" s="1063" t="s">
        <v>457</v>
      </c>
      <c r="F26" s="1069" t="s">
        <v>438</v>
      </c>
      <c r="G26" s="1064"/>
      <c r="J26" s="557">
        <v>0</v>
      </c>
    </row>
    <row s="3319" customFormat="1" customHeight="1" ht="11.25" hidden="1">
      <c r="A27" s="513"/>
      <c r="B27" s="558"/>
      <c r="C27" s="558"/>
      <c r="D27" s="1062" t="s">
        <v>458</v>
      </c>
      <c r="E27" s="1070" t="s">
        <v>459</v>
      </c>
      <c r="F27" s="1071"/>
      <c r="G27" s="1064"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557">
        <v>0</v>
      </c>
    </row>
    <row s="3319" customFormat="1" customHeight="1" ht="11.25" hidden="1">
      <c r="A28" s="513"/>
      <c r="B28" s="558"/>
      <c r="C28" s="558"/>
      <c r="D28" s="1062" t="s">
        <v>460</v>
      </c>
      <c r="E28" s="1070" t="s">
        <v>461</v>
      </c>
      <c r="F28" s="1071"/>
      <c r="G28" s="1064"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557">
        <v>0</v>
      </c>
    </row>
    <row s="3319" customFormat="1" customHeight="1" ht="11.25" hidden="1">
      <c r="A29" s="513"/>
      <c r="B29" s="558"/>
      <c r="C29" s="558"/>
      <c r="D29" s="1062" t="s">
        <v>462</v>
      </c>
      <c r="E29" s="1070" t="s">
        <v>463</v>
      </c>
      <c r="F29" s="1071"/>
      <c r="G29" s="1064"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557">
        <v>0</v>
      </c>
    </row>
    <row s="3319" customFormat="1" customHeight="1" ht="11.25" hidden="1">
      <c r="A30" s="513"/>
      <c r="B30" s="558"/>
      <c r="C30" s="558"/>
      <c r="D30" s="1062" t="s">
        <v>464</v>
      </c>
      <c r="E30" s="1063" t="s">
        <v>465</v>
      </c>
      <c r="F30" s="1071"/>
      <c r="G30" s="1064"/>
      <c r="J30" s="557">
        <v>0</v>
      </c>
    </row>
    <row s="3319" customFormat="1" customHeight="1" ht="11.25" hidden="1">
      <c r="A31" s="513"/>
      <c r="B31" s="558"/>
      <c r="C31" s="558"/>
      <c r="D31" s="1062" t="s">
        <v>466</v>
      </c>
      <c r="E31" s="1063" t="s">
        <v>467</v>
      </c>
      <c r="F31" s="1071"/>
      <c r="G31" s="1064"/>
      <c r="J31" s="557">
        <v>0</v>
      </c>
    </row>
    <row s="3319" customFormat="1" customHeight="1" ht="11.25" hidden="1">
      <c r="A32" s="513"/>
      <c r="B32" s="558"/>
      <c r="C32" s="558"/>
      <c r="D32" s="1062" t="s">
        <v>468</v>
      </c>
      <c r="E32" s="1063" t="s">
        <v>469</v>
      </c>
      <c r="F32" s="1072"/>
      <c r="G32" s="1064"/>
      <c r="J32" s="557">
        <v>0</v>
      </c>
    </row>
    <row customHeight="1" ht="24">
      <c r="A33" s="513" t="str">
        <f>IF(TEMPLATE_SPHERE="HEAT","6","5")</f>
        <v>5</v>
      </c>
      <c r="B33" s="558"/>
      <c r="C33" s="513"/>
      <c r="D33" s="496" t="str">
        <f>A33</f>
        <v>5</v>
      </c>
      <c r="E33" s="49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99" t="s">
        <v>438</v>
      </c>
      <c r="G33" s="530"/>
      <c r="H33" s="531"/>
      <c r="J33" s="511">
        <v>23</v>
      </c>
    </row>
    <row customHeight="1" ht="23.25">
      <c r="A34" s="513"/>
      <c r="B34" s="558"/>
      <c r="C34" s="513"/>
      <c r="D34" s="496" t="str">
        <f>D33&amp;".1"</f>
        <v>5.1</v>
      </c>
      <c r="E34" s="498" t="str">
        <f>"фамилия"&amp;IF(TEMPLATE_SPHERE&lt;&gt;"HEAT"," руководителя","")</f>
        <v>фамилия руководителя</v>
      </c>
      <c r="F34" s="497"/>
      <c r="G34" s="50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531"/>
      <c r="J34" s="511">
        <v>22</v>
      </c>
    </row>
    <row customHeight="1" ht="23.25">
      <c r="A35" s="513"/>
      <c r="B35" s="558"/>
      <c r="C35" s="513"/>
      <c r="D35" s="496" t="str">
        <f>D33&amp;".2"</f>
        <v>5.2</v>
      </c>
      <c r="E35" s="498" t="str">
        <f>"имя"&amp;IF(TEMPLATE_SPHERE&lt;&gt;"HEAT"," руководителя","")</f>
        <v>имя руководителя</v>
      </c>
      <c r="F35" s="497"/>
      <c r="G35" s="50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531"/>
      <c r="J35" s="511">
        <v>22</v>
      </c>
    </row>
    <row customHeight="1" ht="24">
      <c r="A36" s="513"/>
      <c r="B36" s="558"/>
      <c r="C36" s="513"/>
      <c r="D36" s="496" t="str">
        <f>D33&amp;".3"</f>
        <v>5.3</v>
      </c>
      <c r="E36" s="498" t="str">
        <f>"отчество"&amp;IF(TEMPLATE_SPHERE&lt;&gt;"HEAT"," руководителя","")</f>
        <v>отчество руководителя</v>
      </c>
      <c r="F36" s="754"/>
      <c r="G36" s="50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531"/>
      <c r="J36" s="511">
        <v>23</v>
      </c>
    </row>
    <row customHeight="1" ht="35.699999999999996">
      <c r="A37" s="513"/>
      <c r="B37" s="558"/>
      <c r="C37" s="513"/>
      <c r="D37" s="496">
        <f>D33+1</f>
        <v>6</v>
      </c>
      <c r="E37" s="49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97"/>
      <c r="G37" s="500" t="s">
        <v>470</v>
      </c>
      <c r="H37" s="531"/>
      <c r="J37" s="511">
        <v>34</v>
      </c>
    </row>
    <row customHeight="1" ht="35.699999999999996">
      <c r="A38" s="513"/>
      <c r="B38" s="558"/>
      <c r="C38" s="513"/>
      <c r="D38" s="496">
        <f>D37+1</f>
        <v>7</v>
      </c>
      <c r="E38" s="49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97"/>
      <c r="G38" s="500" t="s">
        <v>470</v>
      </c>
      <c r="H38" s="531"/>
      <c r="J38" s="511">
        <v>34</v>
      </c>
    </row>
    <row customHeight="1" ht="23.25">
      <c r="A39" s="513"/>
      <c r="B39" s="558"/>
      <c r="C39" s="513"/>
      <c r="D39" s="496">
        <f>D38+1</f>
        <v>8</v>
      </c>
      <c r="E39" s="49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99" t="s">
        <v>438</v>
      </c>
      <c r="G39" s="226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531"/>
      <c r="J39" s="511">
        <v>22</v>
      </c>
    </row>
    <row customHeight="1" ht="22.5" hidden="1">
      <c r="A40" s="513"/>
      <c r="B40" s="558"/>
      <c r="C40" s="513"/>
      <c r="D40" s="496" t="str">
        <f>D39&amp;".0"</f>
        <v>8.0</v>
      </c>
      <c r="E40" s="1661"/>
      <c r="F40" s="937"/>
      <c r="G40" s="2267"/>
      <c r="H40" s="531"/>
      <c r="J40" s="511">
        <v>0</v>
      </c>
    </row>
    <row customHeight="1" ht="23.25">
      <c r="A41" s="513"/>
      <c r="B41" s="513"/>
      <c r="C41" s="1744"/>
      <c r="D41" s="496" t="str">
        <f>D39&amp;".1"</f>
        <v>8.1</v>
      </c>
      <c r="E41" s="916"/>
      <c r="F41" s="917"/>
      <c r="G41" s="2267"/>
      <c r="H41" s="531"/>
      <c r="J41" s="511">
        <v>22</v>
      </c>
    </row>
    <row customHeight="1" ht="15.75">
      <c r="A42" s="513"/>
      <c r="B42" s="558"/>
      <c r="C42" s="513"/>
      <c r="D42" s="523"/>
      <c r="E42" s="471" t="s">
        <v>471</v>
      </c>
      <c r="F42" s="525"/>
      <c r="G42" s="2268"/>
      <c r="H42" s="532"/>
      <c r="J42" s="511">
        <v>15</v>
      </c>
    </row>
    <row customHeight="1" ht="27.299999999999997">
      <c r="A43" s="513"/>
      <c r="B43" s="558"/>
      <c r="C43" s="513"/>
      <c r="D43" s="496">
        <f>D39+1</f>
        <v>9</v>
      </c>
      <c r="E43" s="49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918"/>
      <c r="G43" s="50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531"/>
      <c r="J43" s="511">
        <v>26</v>
      </c>
    </row>
    <row customHeight="1" ht="23.25">
      <c r="A44" s="513"/>
      <c r="B44" s="558"/>
      <c r="C44" s="513"/>
      <c r="D44" s="496">
        <f>D43+1</f>
        <v>10</v>
      </c>
      <c r="E44" s="49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434"/>
      <c r="G44" s="530" t="s">
        <v>472</v>
      </c>
      <c r="H44" s="531"/>
      <c r="J44" s="511">
        <v>22</v>
      </c>
    </row>
    <row customHeight="1" ht="23.25">
      <c r="A45" s="513"/>
      <c r="B45" s="558"/>
      <c r="C45" s="513"/>
      <c r="D45" s="496">
        <f>D44+1</f>
        <v>11</v>
      </c>
      <c r="E45" s="494" t="s">
        <v>473</v>
      </c>
      <c r="F45" s="499" t="s">
        <v>438</v>
      </c>
      <c r="G45" s="493" t="str">
        <f>IF(TEMPLATE_SPHERE="TKO","Указывается режим работы организации.","")</f>
        <v/>
      </c>
      <c r="H45" s="531"/>
      <c r="J45" s="511">
        <v>22</v>
      </c>
    </row>
    <row customHeight="1" ht="24">
      <c r="A46" s="513"/>
      <c r="B46" s="558"/>
      <c r="C46" s="513"/>
      <c r="D46" s="496" t="str">
        <f>D45&amp;".1"</f>
        <v>11.1</v>
      </c>
      <c r="E46" s="498" t="str">
        <f>"режим работы регулируемой организации"&amp;IF(TEMPLATE_SPHERE="HEAT",", ЕТО, ТО","")</f>
        <v>режим работы регулируемой организации</v>
      </c>
      <c r="F46" s="1740"/>
      <c r="G46" s="493" t="s">
        <v>474</v>
      </c>
      <c r="H46" s="531"/>
      <c r="J46" s="511">
        <v>23</v>
      </c>
    </row>
    <row customHeight="1" ht="24">
      <c r="A47" s="2258"/>
      <c r="B47" s="558"/>
      <c r="C47" s="548"/>
      <c r="D47" s="496" t="str">
        <f>D45&amp;".2"</f>
        <v>11.2</v>
      </c>
      <c r="E47" s="498" t="s">
        <v>475</v>
      </c>
      <c r="F47" s="546"/>
      <c r="G47" s="493" t="s">
        <v>476</v>
      </c>
      <c r="H47" s="531"/>
      <c r="J47" s="511">
        <v>23</v>
      </c>
    </row>
    <row customHeight="1" ht="24">
      <c r="A48" s="2258"/>
      <c r="B48" s="558"/>
      <c r="C48" s="548"/>
      <c r="D48" s="496" t="str">
        <f>D45&amp;".3"</f>
        <v>11.3</v>
      </c>
      <c r="E48" s="498" t="s">
        <v>477</v>
      </c>
      <c r="F48" s="546"/>
      <c r="G48" s="493" t="s">
        <v>478</v>
      </c>
      <c r="H48" s="531"/>
      <c r="J48" s="511">
        <v>23</v>
      </c>
    </row>
    <row customHeight="1" ht="24">
      <c r="A49" s="2258"/>
      <c r="B49" s="558"/>
      <c r="C49" s="548"/>
      <c r="D49" s="496" t="str">
        <f>IF(TEMPLATE_SPHERE="TKO",D45&amp;".0",D45&amp;".4")</f>
        <v>11.4</v>
      </c>
      <c r="E49" s="492" t="s">
        <v>479</v>
      </c>
      <c r="F49" s="1741"/>
      <c r="G49" s="1818" t="s">
        <v>480</v>
      </c>
      <c r="H49" s="531"/>
      <c r="J49" s="511">
        <v>23</v>
      </c>
    </row>
    <row customHeight="1" ht="24">
      <c r="A50" s="513"/>
      <c r="B50" s="558"/>
      <c r="C50" s="513"/>
      <c r="D50" s="523"/>
      <c r="E50" s="471" t="s">
        <v>481</v>
      </c>
      <c r="F50" s="524"/>
      <c r="G50" s="1818" t="s">
        <v>482</v>
      </c>
      <c r="H50" s="532"/>
      <c r="J50" s="511">
        <v>23</v>
      </c>
    </row>
    <row customHeight="1" ht="24">
      <c r="A51" s="914"/>
      <c r="B51" s="558"/>
      <c r="C51" s="548"/>
      <c r="D51" s="496">
        <f>D45+1</f>
        <v>12</v>
      </c>
      <c r="E51" s="584" t="s">
        <v>483</v>
      </c>
      <c r="F51" s="546"/>
      <c r="G51" s="174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531"/>
      <c r="J51" s="511">
        <v>23</v>
      </c>
    </row>
    <row customHeight="1" ht="11.549999999999999">
      <c r="A52" s="513"/>
      <c r="B52" s="558"/>
      <c r="C52" s="513"/>
      <c r="J52" s="511">
        <v>11</v>
      </c>
    </row>
    <row s="3387" customFormat="1" customHeight="1" ht="31.5">
      <c r="A53" s="1743"/>
      <c r="B53" s="559"/>
      <c r="C53" s="2259"/>
      <c r="D53" s="226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62"/>
      <c r="F53" s="2262"/>
      <c r="G53" s="2262"/>
      <c r="H53" s="510"/>
      <c r="I53" s="510"/>
      <c r="J53" s="516">
        <v>30</v>
      </c>
    </row>
    <row s="3387" customFormat="1" customHeight="1" ht="42">
      <c r="A54" s="513"/>
      <c r="B54" s="558"/>
      <c r="C54" s="2259"/>
      <c r="D54" s="2262"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262"/>
      <c r="F54" s="2262"/>
      <c r="G54" s="2262"/>
      <c r="J54" s="516">
        <v>40</v>
      </c>
    </row>
    <row customHeight="1" ht="11.549999999999999">
      <c r="D55" s="514"/>
      <c r="E55" s="515"/>
      <c r="F55" s="515"/>
      <c r="G55" s="515"/>
      <c r="J55" s="511">
        <v>11</v>
      </c>
    </row>
    <row customHeight="1" ht="28.5">
      <c r="D56" s="517"/>
      <c r="E56" s="514"/>
      <c r="F56" s="526"/>
      <c r="G56" s="526"/>
      <c r="J56" s="511">
        <v>27</v>
      </c>
    </row>
    <row customHeight="1" ht="11.549999999999999">
      <c r="D57" s="514"/>
      <c r="E57" s="514"/>
      <c r="F57" s="515"/>
      <c r="G57" s="515"/>
      <c r="J57" s="511">
        <v>11</v>
      </c>
    </row>
    <row customHeight="1" ht="40.949999999999996">
      <c r="D58" s="518"/>
      <c r="E58" s="527"/>
      <c r="F58" s="527"/>
      <c r="G58" s="527"/>
      <c r="J58" s="511">
        <v>39</v>
      </c>
    </row>
    <row customHeight="1" ht="28.5">
      <c r="D59" s="518"/>
      <c r="E59" s="527"/>
      <c r="F59" s="527"/>
      <c r="G59" s="527"/>
      <c r="J59" s="511">
        <v>27</v>
      </c>
    </row>
    <row customHeight="1" ht="11.25" hidden="1">
      <c r="A60" s="1742" t="s">
        <v>86</v>
      </c>
      <c r="B60" s="557">
        <v>0</v>
      </c>
      <c r="C60" s="511">
        <v>3</v>
      </c>
      <c r="D60" s="512">
        <v>6</v>
      </c>
      <c r="E60" s="511">
        <v>52</v>
      </c>
      <c r="F60" s="511">
        <v>48</v>
      </c>
      <c r="G60" s="511">
        <v>121</v>
      </c>
      <c r="H60" s="511">
        <v>8</v>
      </c>
      <c r="I60" s="511">
        <v>64</v>
      </c>
      <c r="J60" s="511">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F4697D-3806-EF57-884F-511348B9183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76E45D-B06A-2DAA-CF1D-A8CBD4C92512}"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ECFC7-CF98-0605-A2BD-ADA30749A00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22"/>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03197A-6F71-FA65-3459-D4BCB39D8D9B}" mc:Ignorable="x14ac xr xr2 xr3">
  <dimension ref="A1:E8"/>
  <sheetViews>
    <sheetView topLeftCell="A1" showGridLines="0" workbookViewId="0">
      <selection activeCell="A1" sqref="A1"/>
    </sheetView>
  </sheetViews>
  <sheetFormatPr customHeight="1" defaultRowHeight="11.25"/>
  <cols>
    <col min="1" max="1" style="2948" width="10.57421875" customWidth="1"/>
    <col min="2" max="2" style="2948" width="8.7109375" customWidth="1"/>
    <col min="3" max="3" style="2948" width="18.140625" customWidth="1"/>
    <col min="4" max="4" style="2948" width="12.57421875" customWidth="1"/>
  </cols>
  <sheetData>
    <row customHeight="1" ht="11.25">
      <c r="A1" s="2671" t="s">
        <v>2369</v>
      </c>
      <c r="B1" s="2672" t="s">
        <v>2370</v>
      </c>
      <c r="C1" s="2673" t="s">
        <v>2371</v>
      </c>
      <c r="D1" s="2674"/>
      <c r="E1" s="892" t="s">
        <v>2372</v>
      </c>
    </row>
    <row customHeight="1" ht="11.25">
      <c r="A2" s="2675"/>
      <c r="B2" s="821" t="s">
        <v>26</v>
      </c>
      <c r="C2" s="809"/>
      <c r="D2" s="820"/>
      <c r="E2" s="892"/>
    </row>
    <row customHeight="1" ht="11.25">
      <c r="A3" s="2676"/>
      <c r="B3" s="2677" t="s">
        <v>33</v>
      </c>
      <c r="C3" s="809"/>
      <c r="D3" s="820"/>
      <c r="E3" s="892"/>
    </row>
    <row customHeight="1" ht="11.25">
      <c r="A4" s="2678"/>
      <c r="B4" s="822" t="s">
        <v>1795</v>
      </c>
      <c r="C4" s="809"/>
      <c r="D4" s="820"/>
      <c r="E4" s="892"/>
    </row>
    <row customHeight="1" ht="11.25">
      <c r="A5" s="2679"/>
      <c r="B5" s="822" t="s">
        <v>1789</v>
      </c>
      <c r="C5" s="2680" t="s">
        <v>2136</v>
      </c>
      <c r="D5" s="2681" t="s">
        <v>2373</v>
      </c>
      <c r="E5" s="892"/>
    </row>
    <row s="2911" customFormat="1" customHeight="1" ht="11.25">
      <c r="A6" s="2682"/>
      <c r="B6" s="822" t="s">
        <v>1799</v>
      </c>
      <c r="C6" s="809"/>
      <c r="D6" s="820"/>
      <c r="E6" s="892"/>
    </row>
    <row customHeight="1" ht="11.25">
      <c r="A7" s="2683"/>
      <c r="B7" s="822" t="s">
        <v>1807</v>
      </c>
      <c r="C7" s="809"/>
      <c r="D7" s="820"/>
      <c r="E7" s="892"/>
    </row>
    <row customHeight="1" ht="11.25">
      <c r="A8" s="812"/>
      <c r="B8" s="822" t="s">
        <v>1802</v>
      </c>
      <c r="C8" s="809"/>
      <c r="D8" s="820"/>
      <c r="E8" s="892"/>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8D688C-D095-A6FC-3D07-DE897F0DB96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198179-AFBA-76D2-494A-206F6A47100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01699E-7283-9B17-6072-1CA0635F3836}" mc:Ignorable="x14ac xr xr2 xr3">
  <sheetPr>
    <tabColor rgb="FFFFCC99"/>
  </sheetPr>
  <dimension ref="A1:I361"/>
  <sheetViews>
    <sheetView topLeftCell="A1" showGridLines="0" workbookViewId="0">
      <selection activeCell="A1" sqref="A1"/>
    </sheetView>
  </sheetViews>
  <sheetFormatPr defaultColWidth="9.140625" customHeight="1" defaultRowHeight="11.25"/>
  <cols>
    <col min="1" max="2" style="2911" width="9.140625"/>
    <col min="3" max="3" style="2911" width="20.7109375" customWidth="1"/>
    <col min="4" max="4" style="2911" width="25.140625" customWidth="1"/>
    <col min="5" max="9" style="2911" width="9.140625"/>
  </cols>
  <sheetData>
    <row customHeight="1" ht="11.25">
      <c r="A1" s="124" t="s">
        <v>2374</v>
      </c>
      <c r="B1" s="124" t="s">
        <v>2375</v>
      </c>
      <c r="C1" s="124" t="s">
        <v>2376</v>
      </c>
      <c r="D1" s="124" t="s">
        <v>2377</v>
      </c>
      <c r="E1" s="124" t="s">
        <v>2378</v>
      </c>
      <c r="F1" s="124" t="s">
        <v>2379</v>
      </c>
      <c r="G1" s="124" t="s">
        <v>2380</v>
      </c>
      <c r="H1" s="124" t="s">
        <v>2381</v>
      </c>
      <c r="I1" s="124" t="s">
        <v>2382</v>
      </c>
    </row>
    <row customHeight="1" ht="11.25">
      <c r="A2" s="13648" t="s">
        <v>2383</v>
      </c>
      <c r="B2" s="13648" t="s">
        <v>16</v>
      </c>
      <c r="C2" s="13648" t="s">
        <v>2384</v>
      </c>
      <c r="D2" s="13648" t="s">
        <v>2385</v>
      </c>
      <c r="E2" s="13648" t="s">
        <v>2386</v>
      </c>
      <c r="F2" s="13648" t="s">
        <v>2387</v>
      </c>
      <c r="G2" s="13648" t="s">
        <v>28</v>
      </c>
      <c r="H2" s="13648" t="s">
        <v>28</v>
      </c>
      <c r="I2" s="13648" t="s">
        <v>940</v>
      </c>
    </row>
    <row customHeight="1" ht="11.25">
      <c r="A3" s="13648" t="s">
        <v>2383</v>
      </c>
      <c r="B3" s="13648" t="s">
        <v>16</v>
      </c>
      <c r="C3" s="13648" t="s">
        <v>2388</v>
      </c>
      <c r="D3" s="13648" t="s">
        <v>2389</v>
      </c>
      <c r="E3" s="13648" t="s">
        <v>2390</v>
      </c>
      <c r="F3" s="13648" t="s">
        <v>56</v>
      </c>
      <c r="G3" s="13648" t="s">
        <v>2391</v>
      </c>
      <c r="H3" s="13648" t="s">
        <v>28</v>
      </c>
      <c r="I3" s="13648" t="s">
        <v>940</v>
      </c>
    </row>
    <row customHeight="1" ht="11.25">
      <c r="A4" s="13648" t="s">
        <v>2383</v>
      </c>
      <c r="B4" s="13648" t="s">
        <v>16</v>
      </c>
      <c r="C4" s="13648" t="s">
        <v>2392</v>
      </c>
      <c r="D4" s="13648" t="s">
        <v>2393</v>
      </c>
      <c r="E4" s="13648" t="s">
        <v>2394</v>
      </c>
      <c r="F4" s="13648" t="s">
        <v>2395</v>
      </c>
      <c r="G4" s="13648" t="s">
        <v>2396</v>
      </c>
      <c r="H4" s="13648" t="s">
        <v>28</v>
      </c>
      <c r="I4" s="13648" t="s">
        <v>940</v>
      </c>
    </row>
    <row customHeight="1" ht="11.25">
      <c r="A5" s="13648" t="s">
        <v>2383</v>
      </c>
      <c r="B5" s="13648" t="s">
        <v>16</v>
      </c>
      <c r="C5" s="13648" t="s">
        <v>2397</v>
      </c>
      <c r="D5" s="13648" t="s">
        <v>2398</v>
      </c>
      <c r="E5" s="13648" t="s">
        <v>2399</v>
      </c>
      <c r="F5" s="13648" t="s">
        <v>2400</v>
      </c>
      <c r="G5" s="13648" t="s">
        <v>28</v>
      </c>
      <c r="H5" s="13648" t="s">
        <v>28</v>
      </c>
      <c r="I5" s="13648" t="s">
        <v>940</v>
      </c>
    </row>
    <row customHeight="1" ht="11.25">
      <c r="A6" s="13648" t="s">
        <v>2383</v>
      </c>
      <c r="B6" s="13648" t="s">
        <v>16</v>
      </c>
      <c r="C6" s="13648" t="s">
        <v>2401</v>
      </c>
      <c r="D6" s="13648" t="s">
        <v>2402</v>
      </c>
      <c r="E6" s="13648" t="s">
        <v>2399</v>
      </c>
      <c r="F6" s="13648" t="s">
        <v>2403</v>
      </c>
      <c r="G6" s="13648" t="s">
        <v>28</v>
      </c>
      <c r="H6" s="13648" t="s">
        <v>28</v>
      </c>
      <c r="I6" s="13648" t="s">
        <v>940</v>
      </c>
    </row>
    <row customHeight="1" ht="11.25">
      <c r="A7" s="13648" t="s">
        <v>2383</v>
      </c>
      <c r="B7" s="13648" t="s">
        <v>16</v>
      </c>
      <c r="C7" s="13648" t="s">
        <v>2404</v>
      </c>
      <c r="D7" s="13648" t="s">
        <v>2405</v>
      </c>
      <c r="E7" s="13648" t="s">
        <v>2406</v>
      </c>
      <c r="F7" s="13648" t="s">
        <v>2407</v>
      </c>
      <c r="G7" s="13648" t="s">
        <v>28</v>
      </c>
      <c r="H7" s="13648" t="s">
        <v>28</v>
      </c>
      <c r="I7" s="13648" t="s">
        <v>940</v>
      </c>
    </row>
    <row customHeight="1" ht="11.25">
      <c r="A8" s="13648" t="s">
        <v>2383</v>
      </c>
      <c r="B8" s="13648" t="s">
        <v>16</v>
      </c>
      <c r="C8" s="13648" t="s">
        <v>2408</v>
      </c>
      <c r="D8" s="13648" t="s">
        <v>2409</v>
      </c>
      <c r="E8" s="13648" t="s">
        <v>2410</v>
      </c>
      <c r="F8" s="13648" t="s">
        <v>2395</v>
      </c>
      <c r="G8" s="13648" t="s">
        <v>2411</v>
      </c>
      <c r="H8" s="13648" t="s">
        <v>28</v>
      </c>
      <c r="I8" s="13648" t="s">
        <v>940</v>
      </c>
    </row>
    <row customHeight="1" ht="11.25">
      <c r="A9" s="13648" t="s">
        <v>2383</v>
      </c>
      <c r="B9" s="13648" t="s">
        <v>16</v>
      </c>
      <c r="C9" s="13648" t="s">
        <v>2412</v>
      </c>
      <c r="D9" s="13648" t="s">
        <v>2413</v>
      </c>
      <c r="E9" s="13648" t="s">
        <v>2414</v>
      </c>
      <c r="F9" s="13648" t="s">
        <v>2415</v>
      </c>
      <c r="G9" s="13648" t="s">
        <v>2416</v>
      </c>
      <c r="H9" s="13648" t="s">
        <v>28</v>
      </c>
      <c r="I9" s="13648" t="s">
        <v>940</v>
      </c>
    </row>
    <row customHeight="1" ht="11.25">
      <c r="A10" s="13648" t="s">
        <v>2383</v>
      </c>
      <c r="B10" s="13648" t="s">
        <v>16</v>
      </c>
      <c r="C10" s="13648" t="s">
        <v>2417</v>
      </c>
      <c r="D10" s="13648" t="s">
        <v>2418</v>
      </c>
      <c r="E10" s="13648" t="s">
        <v>2419</v>
      </c>
      <c r="F10" s="13648" t="s">
        <v>2420</v>
      </c>
      <c r="G10" s="13648" t="s">
        <v>28</v>
      </c>
      <c r="H10" s="13648" t="s">
        <v>28</v>
      </c>
      <c r="I10" s="13648" t="s">
        <v>940</v>
      </c>
    </row>
    <row customHeight="1" ht="11.25">
      <c r="A11" s="13648" t="s">
        <v>2383</v>
      </c>
      <c r="B11" s="13648" t="s">
        <v>16</v>
      </c>
      <c r="C11" s="13648" t="s">
        <v>2421</v>
      </c>
      <c r="D11" s="13648" t="s">
        <v>2422</v>
      </c>
      <c r="E11" s="13648" t="s">
        <v>2423</v>
      </c>
      <c r="F11" s="13648" t="s">
        <v>2424</v>
      </c>
      <c r="G11" s="13648" t="s">
        <v>28</v>
      </c>
      <c r="H11" s="13648" t="s">
        <v>28</v>
      </c>
      <c r="I11" s="13648" t="s">
        <v>940</v>
      </c>
    </row>
    <row customHeight="1" ht="11.25">
      <c r="A12" s="13648" t="s">
        <v>2383</v>
      </c>
      <c r="B12" s="13648" t="s">
        <v>16</v>
      </c>
      <c r="C12" s="13648" t="s">
        <v>2425</v>
      </c>
      <c r="D12" s="13648" t="s">
        <v>2426</v>
      </c>
      <c r="E12" s="13648" t="s">
        <v>2427</v>
      </c>
      <c r="F12" s="13648" t="s">
        <v>2395</v>
      </c>
      <c r="G12" s="13648" t="s">
        <v>28</v>
      </c>
      <c r="H12" s="13648" t="s">
        <v>28</v>
      </c>
      <c r="I12" s="13648" t="s">
        <v>940</v>
      </c>
    </row>
    <row customHeight="1" ht="11.25">
      <c r="A13" s="13648" t="s">
        <v>2383</v>
      </c>
      <c r="B13" s="13648" t="s">
        <v>16</v>
      </c>
      <c r="C13" s="13648" t="s">
        <v>2428</v>
      </c>
      <c r="D13" s="13648" t="s">
        <v>2429</v>
      </c>
      <c r="E13" s="13648" t="s">
        <v>2430</v>
      </c>
      <c r="F13" s="13648" t="s">
        <v>2395</v>
      </c>
      <c r="G13" s="13648" t="s">
        <v>28</v>
      </c>
      <c r="H13" s="13648" t="s">
        <v>28</v>
      </c>
      <c r="I13" s="13648" t="s">
        <v>940</v>
      </c>
    </row>
    <row customHeight="1" ht="11.25">
      <c r="A14" s="13648" t="s">
        <v>2383</v>
      </c>
      <c r="B14" s="13648" t="s">
        <v>16</v>
      </c>
      <c r="C14" s="13648" t="s">
        <v>2431</v>
      </c>
      <c r="D14" s="13648" t="s">
        <v>2432</v>
      </c>
      <c r="E14" s="13648" t="s">
        <v>2433</v>
      </c>
      <c r="F14" s="13648" t="s">
        <v>2434</v>
      </c>
      <c r="G14" s="13648" t="s">
        <v>28</v>
      </c>
      <c r="H14" s="13648" t="s">
        <v>28</v>
      </c>
      <c r="I14" s="13648" t="s">
        <v>940</v>
      </c>
    </row>
    <row customHeight="1" ht="11.25">
      <c r="A15" s="13648" t="s">
        <v>2383</v>
      </c>
      <c r="B15" s="13648" t="s">
        <v>16</v>
      </c>
      <c r="C15" s="13648" t="s">
        <v>2435</v>
      </c>
      <c r="D15" s="13648" t="s">
        <v>2436</v>
      </c>
      <c r="E15" s="13648" t="s">
        <v>2437</v>
      </c>
      <c r="F15" s="13648" t="s">
        <v>2438</v>
      </c>
      <c r="G15" s="13648" t="s">
        <v>28</v>
      </c>
      <c r="H15" s="13648" t="s">
        <v>28</v>
      </c>
      <c r="I15" s="13648" t="s">
        <v>940</v>
      </c>
    </row>
    <row customHeight="1" ht="11.25">
      <c r="A16" s="13648" t="s">
        <v>2383</v>
      </c>
      <c r="B16" s="13648" t="s">
        <v>16</v>
      </c>
      <c r="C16" s="13648" t="s">
        <v>2439</v>
      </c>
      <c r="D16" s="13648" t="s">
        <v>2440</v>
      </c>
      <c r="E16" s="13648" t="s">
        <v>2437</v>
      </c>
      <c r="F16" s="13648" t="s">
        <v>2441</v>
      </c>
      <c r="G16" s="13648" t="s">
        <v>28</v>
      </c>
      <c r="H16" s="13648" t="s">
        <v>28</v>
      </c>
      <c r="I16" s="13648" t="s">
        <v>940</v>
      </c>
    </row>
    <row customHeight="1" ht="11.25">
      <c r="A17" s="13648" t="s">
        <v>2383</v>
      </c>
      <c r="B17" s="13648" t="s">
        <v>16</v>
      </c>
      <c r="C17" s="13648" t="s">
        <v>2442</v>
      </c>
      <c r="D17" s="13648" t="s">
        <v>2443</v>
      </c>
      <c r="E17" s="13648" t="s">
        <v>2444</v>
      </c>
      <c r="F17" s="13648" t="s">
        <v>2395</v>
      </c>
      <c r="G17" s="13648" t="s">
        <v>28</v>
      </c>
      <c r="H17" s="13648" t="s">
        <v>28</v>
      </c>
      <c r="I17" s="13648" t="s">
        <v>940</v>
      </c>
    </row>
    <row customHeight="1" ht="11.25">
      <c r="A18" s="13648" t="s">
        <v>2383</v>
      </c>
      <c r="B18" s="13648" t="s">
        <v>16</v>
      </c>
      <c r="C18" s="13648" t="s">
        <v>2445</v>
      </c>
      <c r="D18" s="13648" t="s">
        <v>2446</v>
      </c>
      <c r="E18" s="13648" t="s">
        <v>2447</v>
      </c>
      <c r="F18" s="13648" t="s">
        <v>708</v>
      </c>
      <c r="G18" s="13648" t="s">
        <v>28</v>
      </c>
      <c r="H18" s="13648" t="s">
        <v>28</v>
      </c>
      <c r="I18" s="13648" t="s">
        <v>940</v>
      </c>
    </row>
    <row customHeight="1" ht="11.25">
      <c r="A19" s="13648" t="s">
        <v>2383</v>
      </c>
      <c r="B19" s="13648" t="s">
        <v>16</v>
      </c>
      <c r="C19" s="13648" t="s">
        <v>28</v>
      </c>
      <c r="D19" s="13648" t="s">
        <v>2448</v>
      </c>
      <c r="E19" s="13648" t="s">
        <v>2449</v>
      </c>
      <c r="F19" s="13648" t="s">
        <v>2395</v>
      </c>
      <c r="G19" s="13648" t="s">
        <v>28</v>
      </c>
      <c r="H19" s="13648" t="s">
        <v>28</v>
      </c>
      <c r="I19" s="13648" t="s">
        <v>940</v>
      </c>
    </row>
    <row customHeight="1" ht="11.25">
      <c r="A20" s="13648" t="s">
        <v>2383</v>
      </c>
      <c r="B20" s="13648" t="s">
        <v>16</v>
      </c>
      <c r="C20" s="13648" t="s">
        <v>2450</v>
      </c>
      <c r="D20" s="13648" t="s">
        <v>2451</v>
      </c>
      <c r="E20" s="13648" t="s">
        <v>2452</v>
      </c>
      <c r="F20" s="13648" t="s">
        <v>2403</v>
      </c>
      <c r="G20" s="13648" t="s">
        <v>2453</v>
      </c>
      <c r="H20" s="13648" t="s">
        <v>28</v>
      </c>
      <c r="I20" s="13648" t="s">
        <v>940</v>
      </c>
    </row>
    <row customHeight="1" ht="11.25">
      <c r="A21" s="13648" t="s">
        <v>2383</v>
      </c>
      <c r="B21" s="13648" t="s">
        <v>16</v>
      </c>
      <c r="C21" s="13648" t="s">
        <v>2454</v>
      </c>
      <c r="D21" s="13648" t="s">
        <v>2455</v>
      </c>
      <c r="E21" s="13648" t="s">
        <v>2456</v>
      </c>
      <c r="F21" s="13648" t="s">
        <v>2457</v>
      </c>
      <c r="G21" s="13648" t="s">
        <v>2458</v>
      </c>
      <c r="H21" s="13648" t="s">
        <v>28</v>
      </c>
      <c r="I21" s="13648" t="s">
        <v>940</v>
      </c>
    </row>
    <row customHeight="1" ht="11.25">
      <c r="A22" s="13648" t="s">
        <v>2383</v>
      </c>
      <c r="B22" s="13648" t="s">
        <v>16</v>
      </c>
      <c r="C22" s="13648" t="s">
        <v>2459</v>
      </c>
      <c r="D22" s="13648" t="s">
        <v>2460</v>
      </c>
      <c r="E22" s="13648" t="s">
        <v>2461</v>
      </c>
      <c r="F22" s="13648" t="s">
        <v>2462</v>
      </c>
      <c r="G22" s="13648" t="s">
        <v>2463</v>
      </c>
      <c r="H22" s="13648" t="s">
        <v>28</v>
      </c>
      <c r="I22" s="13648" t="s">
        <v>940</v>
      </c>
    </row>
    <row customHeight="1" ht="11.25">
      <c r="A23" s="13648" t="s">
        <v>2383</v>
      </c>
      <c r="B23" s="13648" t="s">
        <v>16</v>
      </c>
      <c r="C23" s="13648" t="s">
        <v>2464</v>
      </c>
      <c r="D23" s="13648" t="s">
        <v>2465</v>
      </c>
      <c r="E23" s="13648" t="s">
        <v>2466</v>
      </c>
      <c r="F23" s="13648" t="s">
        <v>2387</v>
      </c>
      <c r="G23" s="13648" t="s">
        <v>2467</v>
      </c>
      <c r="H23" s="13648" t="s">
        <v>28</v>
      </c>
      <c r="I23" s="13648" t="s">
        <v>940</v>
      </c>
    </row>
    <row customHeight="1" ht="11.25">
      <c r="A24" s="13648" t="s">
        <v>2383</v>
      </c>
      <c r="B24" s="13648" t="s">
        <v>16</v>
      </c>
      <c r="C24" s="13648" t="s">
        <v>2468</v>
      </c>
      <c r="D24" s="13648" t="s">
        <v>2469</v>
      </c>
      <c r="E24" s="13648" t="s">
        <v>2470</v>
      </c>
      <c r="F24" s="13648" t="s">
        <v>2471</v>
      </c>
      <c r="G24" s="13648" t="s">
        <v>28</v>
      </c>
      <c r="H24" s="13648" t="s">
        <v>28</v>
      </c>
      <c r="I24" s="13648" t="s">
        <v>940</v>
      </c>
    </row>
    <row customHeight="1" ht="11.25">
      <c r="A25" s="13648" t="s">
        <v>2383</v>
      </c>
      <c r="B25" s="13648" t="s">
        <v>16</v>
      </c>
      <c r="C25" s="13648" t="s">
        <v>2472</v>
      </c>
      <c r="D25" s="13648" t="s">
        <v>2473</v>
      </c>
      <c r="E25" s="13648" t="s">
        <v>2474</v>
      </c>
      <c r="F25" s="13648" t="s">
        <v>2395</v>
      </c>
      <c r="G25" s="13648" t="s">
        <v>28</v>
      </c>
      <c r="H25" s="13648" t="s">
        <v>28</v>
      </c>
      <c r="I25" s="13648" t="s">
        <v>940</v>
      </c>
    </row>
    <row customHeight="1" ht="11.25">
      <c r="A26" s="13648" t="s">
        <v>2383</v>
      </c>
      <c r="B26" s="13648" t="s">
        <v>16</v>
      </c>
      <c r="C26" s="13648" t="s">
        <v>2475</v>
      </c>
      <c r="D26" s="13648" t="s">
        <v>2476</v>
      </c>
      <c r="E26" s="13648" t="s">
        <v>2477</v>
      </c>
      <c r="F26" s="13648" t="s">
        <v>2478</v>
      </c>
      <c r="G26" s="13648" t="s">
        <v>28</v>
      </c>
      <c r="H26" s="13648" t="s">
        <v>28</v>
      </c>
      <c r="I26" s="13648" t="s">
        <v>940</v>
      </c>
    </row>
    <row customHeight="1" ht="11.25">
      <c r="A27" s="13648" t="s">
        <v>2383</v>
      </c>
      <c r="B27" s="13648" t="s">
        <v>16</v>
      </c>
      <c r="C27" s="13648" t="s">
        <v>2479</v>
      </c>
      <c r="D27" s="13648" t="s">
        <v>2480</v>
      </c>
      <c r="E27" s="13648" t="s">
        <v>2481</v>
      </c>
      <c r="F27" s="13648" t="s">
        <v>2471</v>
      </c>
      <c r="G27" s="13648" t="s">
        <v>28</v>
      </c>
      <c r="H27" s="13648" t="s">
        <v>28</v>
      </c>
      <c r="I27" s="13648" t="s">
        <v>940</v>
      </c>
    </row>
    <row customHeight="1" ht="11.25">
      <c r="A28" s="13648" t="s">
        <v>2383</v>
      </c>
      <c r="B28" s="13648" t="s">
        <v>16</v>
      </c>
      <c r="C28" s="13648" t="s">
        <v>2482</v>
      </c>
      <c r="D28" s="13648" t="s">
        <v>2483</v>
      </c>
      <c r="E28" s="13648" t="s">
        <v>2484</v>
      </c>
      <c r="F28" s="13648" t="s">
        <v>2462</v>
      </c>
      <c r="G28" s="13648" t="s">
        <v>28</v>
      </c>
      <c r="H28" s="13648" t="s">
        <v>28</v>
      </c>
      <c r="I28" s="13648" t="s">
        <v>940</v>
      </c>
    </row>
    <row customHeight="1" ht="11.25">
      <c r="A29" s="13648" t="s">
        <v>2383</v>
      </c>
      <c r="B29" s="13648" t="s">
        <v>16</v>
      </c>
      <c r="C29" s="13648" t="s">
        <v>2485</v>
      </c>
      <c r="D29" s="13648" t="s">
        <v>2486</v>
      </c>
      <c r="E29" s="13648" t="s">
        <v>2487</v>
      </c>
      <c r="F29" s="13648" t="s">
        <v>2478</v>
      </c>
      <c r="G29" s="13648" t="s">
        <v>28</v>
      </c>
      <c r="H29" s="13648" t="s">
        <v>28</v>
      </c>
      <c r="I29" s="13648" t="s">
        <v>940</v>
      </c>
    </row>
    <row customHeight="1" ht="11.25">
      <c r="A30" s="13648" t="s">
        <v>2383</v>
      </c>
      <c r="B30" s="13648" t="s">
        <v>16</v>
      </c>
      <c r="C30" s="13648" t="s">
        <v>2488</v>
      </c>
      <c r="D30" s="13648" t="s">
        <v>2489</v>
      </c>
      <c r="E30" s="13648" t="s">
        <v>2490</v>
      </c>
      <c r="F30" s="13648" t="s">
        <v>2491</v>
      </c>
      <c r="G30" s="13648" t="s">
        <v>2492</v>
      </c>
      <c r="H30" s="13648" t="s">
        <v>28</v>
      </c>
      <c r="I30" s="13648" t="s">
        <v>940</v>
      </c>
    </row>
    <row customHeight="1" ht="11.25">
      <c r="A31" s="13648" t="s">
        <v>2383</v>
      </c>
      <c r="B31" s="13648" t="s">
        <v>16</v>
      </c>
      <c r="C31" s="13648" t="s">
        <v>2493</v>
      </c>
      <c r="D31" s="13648" t="s">
        <v>2494</v>
      </c>
      <c r="E31" s="13648" t="s">
        <v>2495</v>
      </c>
      <c r="F31" s="13648" t="s">
        <v>2496</v>
      </c>
      <c r="G31" s="13648" t="s">
        <v>2497</v>
      </c>
      <c r="H31" s="13648" t="s">
        <v>28</v>
      </c>
      <c r="I31" s="13648" t="s">
        <v>940</v>
      </c>
    </row>
    <row customHeight="1" ht="11.25">
      <c r="A32" s="13648" t="s">
        <v>2383</v>
      </c>
      <c r="B32" s="13648" t="s">
        <v>16</v>
      </c>
      <c r="C32" s="13648" t="s">
        <v>2498</v>
      </c>
      <c r="D32" s="13648" t="s">
        <v>2499</v>
      </c>
      <c r="E32" s="13648" t="s">
        <v>2500</v>
      </c>
      <c r="F32" s="13648" t="s">
        <v>2491</v>
      </c>
      <c r="G32" s="13648" t="s">
        <v>2501</v>
      </c>
      <c r="H32" s="13648" t="s">
        <v>28</v>
      </c>
      <c r="I32" s="13648" t="s">
        <v>940</v>
      </c>
    </row>
    <row customHeight="1" ht="11.25">
      <c r="A33" s="13648" t="s">
        <v>2383</v>
      </c>
      <c r="B33" s="13648" t="s">
        <v>16</v>
      </c>
      <c r="C33" s="13648" t="s">
        <v>13</v>
      </c>
      <c r="D33" s="13648" t="s">
        <v>51</v>
      </c>
      <c r="E33" s="13648" t="s">
        <v>54</v>
      </c>
      <c r="F33" s="13648" t="s">
        <v>56</v>
      </c>
      <c r="G33" s="13648" t="s">
        <v>28</v>
      </c>
      <c r="H33" s="13648" t="s">
        <v>28</v>
      </c>
      <c r="I33" s="13648" t="s">
        <v>940</v>
      </c>
    </row>
    <row customHeight="1" ht="11.25">
      <c r="A34" s="13648" t="s">
        <v>2383</v>
      </c>
      <c r="B34" s="13648" t="s">
        <v>16</v>
      </c>
      <c r="C34" s="13648" t="s">
        <v>2502</v>
      </c>
      <c r="D34" s="13648" t="s">
        <v>2503</v>
      </c>
      <c r="E34" s="13648" t="s">
        <v>2504</v>
      </c>
      <c r="F34" s="13648" t="s">
        <v>2505</v>
      </c>
      <c r="G34" s="13648" t="s">
        <v>28</v>
      </c>
      <c r="H34" s="13648" t="s">
        <v>28</v>
      </c>
      <c r="I34" s="13648" t="s">
        <v>940</v>
      </c>
    </row>
    <row customHeight="1" ht="11.25">
      <c r="A35" s="13648" t="s">
        <v>2383</v>
      </c>
      <c r="B35" s="13648" t="s">
        <v>16</v>
      </c>
      <c r="C35" s="13648" t="s">
        <v>2506</v>
      </c>
      <c r="D35" s="13648" t="s">
        <v>2507</v>
      </c>
      <c r="E35" s="13648" t="s">
        <v>2508</v>
      </c>
      <c r="F35" s="13648" t="s">
        <v>2509</v>
      </c>
      <c r="G35" s="13648" t="s">
        <v>28</v>
      </c>
      <c r="H35" s="13648" t="s">
        <v>28</v>
      </c>
      <c r="I35" s="13648" t="s">
        <v>940</v>
      </c>
    </row>
    <row customHeight="1" ht="11.25">
      <c r="A36" s="13648" t="s">
        <v>2383</v>
      </c>
      <c r="B36" s="13648" t="s">
        <v>16</v>
      </c>
      <c r="C36" s="13648" t="s">
        <v>2510</v>
      </c>
      <c r="D36" s="13648" t="s">
        <v>2511</v>
      </c>
      <c r="E36" s="13648" t="s">
        <v>2512</v>
      </c>
      <c r="F36" s="13648" t="s">
        <v>2513</v>
      </c>
      <c r="G36" s="13648" t="s">
        <v>28</v>
      </c>
      <c r="H36" s="13648" t="s">
        <v>28</v>
      </c>
      <c r="I36" s="13648" t="s">
        <v>940</v>
      </c>
    </row>
    <row customHeight="1" ht="11.25">
      <c r="A37" s="13648" t="s">
        <v>2383</v>
      </c>
      <c r="B37" s="13648" t="s">
        <v>16</v>
      </c>
      <c r="C37" s="13648" t="s">
        <v>2514</v>
      </c>
      <c r="D37" s="13648" t="s">
        <v>2515</v>
      </c>
      <c r="E37" s="13648" t="s">
        <v>2516</v>
      </c>
      <c r="F37" s="13648" t="s">
        <v>2395</v>
      </c>
      <c r="G37" s="13648" t="s">
        <v>28</v>
      </c>
      <c r="H37" s="13648" t="s">
        <v>28</v>
      </c>
      <c r="I37" s="13648" t="s">
        <v>940</v>
      </c>
    </row>
    <row customHeight="1" ht="11.25">
      <c r="A38" s="13648" t="s">
        <v>2383</v>
      </c>
      <c r="B38" s="13648" t="s">
        <v>16</v>
      </c>
      <c r="C38" s="13648" t="s">
        <v>2517</v>
      </c>
      <c r="D38" s="13648" t="s">
        <v>2518</v>
      </c>
      <c r="E38" s="13648" t="s">
        <v>2430</v>
      </c>
      <c r="F38" s="13648" t="s">
        <v>2513</v>
      </c>
      <c r="G38" s="13648" t="s">
        <v>28</v>
      </c>
      <c r="H38" s="13648" t="s">
        <v>28</v>
      </c>
      <c r="I38" s="13648" t="s">
        <v>940</v>
      </c>
    </row>
    <row customHeight="1" ht="11.25">
      <c r="A39" s="13648" t="s">
        <v>2383</v>
      </c>
      <c r="B39" s="13648" t="s">
        <v>16</v>
      </c>
      <c r="C39" s="13648" t="s">
        <v>2519</v>
      </c>
      <c r="D39" s="13648" t="s">
        <v>2520</v>
      </c>
      <c r="E39" s="13648" t="s">
        <v>2521</v>
      </c>
      <c r="F39" s="13648" t="s">
        <v>2478</v>
      </c>
      <c r="G39" s="13648" t="s">
        <v>28</v>
      </c>
      <c r="H39" s="13648" t="s">
        <v>28</v>
      </c>
      <c r="I39" s="13648" t="s">
        <v>940</v>
      </c>
    </row>
    <row customHeight="1" ht="11.25">
      <c r="A40" s="13648" t="s">
        <v>2383</v>
      </c>
      <c r="B40" s="13648" t="s">
        <v>16</v>
      </c>
      <c r="C40" s="13648" t="s">
        <v>2522</v>
      </c>
      <c r="D40" s="13648" t="s">
        <v>2523</v>
      </c>
      <c r="E40" s="13648" t="s">
        <v>2524</v>
      </c>
      <c r="F40" s="13648" t="s">
        <v>2387</v>
      </c>
      <c r="G40" s="13648" t="s">
        <v>28</v>
      </c>
      <c r="H40" s="13648" t="s">
        <v>28</v>
      </c>
      <c r="I40" s="13648" t="s">
        <v>940</v>
      </c>
    </row>
    <row customHeight="1" ht="11.25">
      <c r="A41" s="13648" t="s">
        <v>2383</v>
      </c>
      <c r="B41" s="13648" t="s">
        <v>16</v>
      </c>
      <c r="C41" s="13648" t="s">
        <v>2525</v>
      </c>
      <c r="D41" s="13648" t="s">
        <v>2526</v>
      </c>
      <c r="E41" s="13648" t="s">
        <v>2527</v>
      </c>
      <c r="F41" s="13648" t="s">
        <v>2528</v>
      </c>
      <c r="G41" s="13648" t="s">
        <v>2529</v>
      </c>
      <c r="H41" s="13648" t="s">
        <v>28</v>
      </c>
      <c r="I41" s="13648" t="s">
        <v>940</v>
      </c>
    </row>
    <row customHeight="1" ht="11.25">
      <c r="A42" s="13648" t="s">
        <v>2383</v>
      </c>
      <c r="B42" s="13648" t="s">
        <v>16</v>
      </c>
      <c r="C42" s="13648" t="s">
        <v>2530</v>
      </c>
      <c r="D42" s="13648" t="s">
        <v>2531</v>
      </c>
      <c r="E42" s="13648" t="s">
        <v>2532</v>
      </c>
      <c r="F42" s="13648" t="s">
        <v>2533</v>
      </c>
      <c r="G42" s="13648" t="s">
        <v>28</v>
      </c>
      <c r="H42" s="13648" t="s">
        <v>28</v>
      </c>
      <c r="I42" s="13648" t="s">
        <v>940</v>
      </c>
    </row>
    <row customHeight="1" ht="11.25">
      <c r="A43" s="13648" t="s">
        <v>2383</v>
      </c>
      <c r="B43" s="13648" t="s">
        <v>16</v>
      </c>
      <c r="C43" s="13648" t="s">
        <v>2534</v>
      </c>
      <c r="D43" s="13648" t="s">
        <v>2535</v>
      </c>
      <c r="E43" s="13648" t="s">
        <v>2536</v>
      </c>
      <c r="F43" s="13648" t="s">
        <v>2478</v>
      </c>
      <c r="G43" s="13648" t="s">
        <v>28</v>
      </c>
      <c r="H43" s="13648" t="s">
        <v>28</v>
      </c>
      <c r="I43" s="13648" t="s">
        <v>940</v>
      </c>
    </row>
    <row customHeight="1" ht="11.25">
      <c r="A44" s="13648" t="s">
        <v>2383</v>
      </c>
      <c r="B44" s="13648" t="s">
        <v>16</v>
      </c>
      <c r="C44" s="13648" t="s">
        <v>2537</v>
      </c>
      <c r="D44" s="13648" t="s">
        <v>2538</v>
      </c>
      <c r="E44" s="13648" t="s">
        <v>2539</v>
      </c>
      <c r="F44" s="13648" t="s">
        <v>2540</v>
      </c>
      <c r="G44" s="13648" t="s">
        <v>28</v>
      </c>
      <c r="H44" s="13648" t="s">
        <v>28</v>
      </c>
      <c r="I44" s="13648" t="s">
        <v>940</v>
      </c>
    </row>
    <row customHeight="1" ht="11.25">
      <c r="A45" s="13648" t="s">
        <v>2383</v>
      </c>
      <c r="B45" s="13648" t="s">
        <v>16</v>
      </c>
      <c r="C45" s="13648" t="s">
        <v>2541</v>
      </c>
      <c r="D45" s="13648" t="s">
        <v>2542</v>
      </c>
      <c r="E45" s="13648" t="s">
        <v>2543</v>
      </c>
      <c r="F45" s="13648" t="s">
        <v>2478</v>
      </c>
      <c r="G45" s="13648" t="s">
        <v>28</v>
      </c>
      <c r="H45" s="13648" t="s">
        <v>28</v>
      </c>
      <c r="I45" s="13648" t="s">
        <v>940</v>
      </c>
    </row>
    <row customHeight="1" ht="11.25">
      <c r="A46" s="13648" t="s">
        <v>2383</v>
      </c>
      <c r="B46" s="13648" t="s">
        <v>16</v>
      </c>
      <c r="C46" s="13648" t="s">
        <v>2544</v>
      </c>
      <c r="D46" s="13648" t="s">
        <v>2545</v>
      </c>
      <c r="E46" s="13648" t="s">
        <v>2546</v>
      </c>
      <c r="F46" s="13648" t="s">
        <v>2478</v>
      </c>
      <c r="G46" s="13648" t="s">
        <v>2547</v>
      </c>
      <c r="H46" s="13648" t="s">
        <v>28</v>
      </c>
      <c r="I46" s="13648" t="s">
        <v>940</v>
      </c>
    </row>
    <row customHeight="1" ht="11.25">
      <c r="A47" s="13648" t="s">
        <v>2383</v>
      </c>
      <c r="B47" s="13648" t="s">
        <v>16</v>
      </c>
      <c r="C47" s="13648" t="s">
        <v>2548</v>
      </c>
      <c r="D47" s="13648" t="s">
        <v>2549</v>
      </c>
      <c r="E47" s="13648" t="s">
        <v>2550</v>
      </c>
      <c r="F47" s="13648" t="s">
        <v>2491</v>
      </c>
      <c r="G47" s="13648" t="s">
        <v>28</v>
      </c>
      <c r="H47" s="13648" t="s">
        <v>2551</v>
      </c>
      <c r="I47" s="13648" t="s">
        <v>940</v>
      </c>
    </row>
    <row customHeight="1" ht="11.25">
      <c r="A48" s="13648" t="s">
        <v>2383</v>
      </c>
      <c r="B48" s="13648" t="s">
        <v>16</v>
      </c>
      <c r="C48" s="13648" t="s">
        <v>2552</v>
      </c>
      <c r="D48" s="13648" t="s">
        <v>2553</v>
      </c>
      <c r="E48" s="13648" t="s">
        <v>2554</v>
      </c>
      <c r="F48" s="13648" t="s">
        <v>2478</v>
      </c>
      <c r="G48" s="13648" t="s">
        <v>28</v>
      </c>
      <c r="H48" s="13648" t="s">
        <v>28</v>
      </c>
      <c r="I48" s="13648" t="s">
        <v>940</v>
      </c>
    </row>
    <row customHeight="1" ht="11.25">
      <c r="A49" s="13648" t="s">
        <v>2383</v>
      </c>
      <c r="B49" s="13648" t="s">
        <v>16</v>
      </c>
      <c r="C49" s="13648" t="s">
        <v>2555</v>
      </c>
      <c r="D49" s="13648" t="s">
        <v>2556</v>
      </c>
      <c r="E49" s="13648" t="s">
        <v>2557</v>
      </c>
      <c r="F49" s="13648" t="s">
        <v>2558</v>
      </c>
      <c r="G49" s="13648" t="s">
        <v>28</v>
      </c>
      <c r="H49" s="13648" t="s">
        <v>28</v>
      </c>
      <c r="I49" s="13648" t="s">
        <v>940</v>
      </c>
    </row>
    <row customHeight="1" ht="11.25">
      <c r="A50" s="13648" t="s">
        <v>2383</v>
      </c>
      <c r="B50" s="13648" t="s">
        <v>16</v>
      </c>
      <c r="C50" s="13648" t="s">
        <v>2559</v>
      </c>
      <c r="D50" s="13648" t="s">
        <v>2560</v>
      </c>
      <c r="E50" s="13648" t="s">
        <v>2561</v>
      </c>
      <c r="F50" s="13648" t="s">
        <v>2478</v>
      </c>
      <c r="G50" s="13648" t="s">
        <v>28</v>
      </c>
      <c r="H50" s="13648" t="s">
        <v>28</v>
      </c>
      <c r="I50" s="13648" t="s">
        <v>940</v>
      </c>
    </row>
    <row customHeight="1" ht="11.25">
      <c r="A51" s="13648" t="s">
        <v>2383</v>
      </c>
      <c r="B51" s="13648" t="s">
        <v>16</v>
      </c>
      <c r="C51" s="13648" t="s">
        <v>2562</v>
      </c>
      <c r="D51" s="13648" t="s">
        <v>2563</v>
      </c>
      <c r="E51" s="13648" t="s">
        <v>2564</v>
      </c>
      <c r="F51" s="13648" t="s">
        <v>2565</v>
      </c>
      <c r="G51" s="13648" t="s">
        <v>2566</v>
      </c>
      <c r="H51" s="13648" t="s">
        <v>28</v>
      </c>
      <c r="I51" s="13648" t="s">
        <v>940</v>
      </c>
    </row>
    <row customHeight="1" ht="11.25">
      <c r="A52" s="13648" t="s">
        <v>2383</v>
      </c>
      <c r="B52" s="13648" t="s">
        <v>16</v>
      </c>
      <c r="C52" s="13648" t="s">
        <v>2567</v>
      </c>
      <c r="D52" s="13648" t="s">
        <v>2568</v>
      </c>
      <c r="E52" s="13648" t="s">
        <v>2569</v>
      </c>
      <c r="F52" s="13648" t="s">
        <v>2395</v>
      </c>
      <c r="G52" s="13648" t="s">
        <v>28</v>
      </c>
      <c r="H52" s="13648" t="s">
        <v>28</v>
      </c>
      <c r="I52" s="13648" t="s">
        <v>940</v>
      </c>
    </row>
    <row customHeight="1" ht="11.25">
      <c r="A53" s="13648" t="s">
        <v>2383</v>
      </c>
      <c r="B53" s="13648" t="s">
        <v>16</v>
      </c>
      <c r="C53" s="13648" t="s">
        <v>2570</v>
      </c>
      <c r="D53" s="13648" t="s">
        <v>2571</v>
      </c>
      <c r="E53" s="13648" t="s">
        <v>2572</v>
      </c>
      <c r="F53" s="13648" t="s">
        <v>2395</v>
      </c>
      <c r="G53" s="13648" t="s">
        <v>28</v>
      </c>
      <c r="H53" s="13648" t="s">
        <v>28</v>
      </c>
      <c r="I53" s="13648" t="s">
        <v>940</v>
      </c>
    </row>
    <row customHeight="1" ht="11.25">
      <c r="A54" s="13648" t="s">
        <v>2383</v>
      </c>
      <c r="B54" s="13648" t="s">
        <v>16</v>
      </c>
      <c r="C54" s="13648" t="s">
        <v>2573</v>
      </c>
      <c r="D54" s="13648" t="s">
        <v>2574</v>
      </c>
      <c r="E54" s="13648" t="s">
        <v>2575</v>
      </c>
      <c r="F54" s="13648" t="s">
        <v>2576</v>
      </c>
      <c r="G54" s="13648" t="s">
        <v>28</v>
      </c>
      <c r="H54" s="13648" t="s">
        <v>28</v>
      </c>
      <c r="I54" s="13648" t="s">
        <v>940</v>
      </c>
    </row>
    <row customHeight="1" ht="11.25">
      <c r="A55" s="13648" t="s">
        <v>2383</v>
      </c>
      <c r="B55" s="13648" t="s">
        <v>16</v>
      </c>
      <c r="C55" s="13648" t="s">
        <v>2577</v>
      </c>
      <c r="D55" s="13648" t="s">
        <v>2578</v>
      </c>
      <c r="E55" s="13648" t="s">
        <v>2579</v>
      </c>
      <c r="F55" s="13648" t="s">
        <v>2580</v>
      </c>
      <c r="G55" s="13648" t="s">
        <v>2581</v>
      </c>
      <c r="H55" s="13648" t="s">
        <v>28</v>
      </c>
      <c r="I55" s="13648" t="s">
        <v>940</v>
      </c>
    </row>
    <row customHeight="1" ht="11.25">
      <c r="A56" s="13648" t="s">
        <v>2383</v>
      </c>
      <c r="B56" s="13648" t="s">
        <v>16</v>
      </c>
      <c r="C56" s="13648" t="s">
        <v>2582</v>
      </c>
      <c r="D56" s="13648" t="s">
        <v>2583</v>
      </c>
      <c r="E56" s="13648" t="s">
        <v>2584</v>
      </c>
      <c r="F56" s="13648" t="s">
        <v>2395</v>
      </c>
      <c r="G56" s="13648" t="s">
        <v>2585</v>
      </c>
      <c r="H56" s="13648" t="s">
        <v>28</v>
      </c>
      <c r="I56" s="13648" t="s">
        <v>940</v>
      </c>
    </row>
    <row customHeight="1" ht="11.25">
      <c r="A57" s="13648" t="s">
        <v>2383</v>
      </c>
      <c r="B57" s="13648" t="s">
        <v>16</v>
      </c>
      <c r="C57" s="13648" t="s">
        <v>2586</v>
      </c>
      <c r="D57" s="13648" t="s">
        <v>2587</v>
      </c>
      <c r="E57" s="13648" t="s">
        <v>2588</v>
      </c>
      <c r="F57" s="13648" t="s">
        <v>56</v>
      </c>
      <c r="G57" s="13648" t="s">
        <v>28</v>
      </c>
      <c r="H57" s="13648" t="s">
        <v>28</v>
      </c>
      <c r="I57" s="13648" t="s">
        <v>940</v>
      </c>
    </row>
    <row customHeight="1" ht="11.25">
      <c r="A58" s="13648" t="s">
        <v>2383</v>
      </c>
      <c r="B58" s="13648" t="s">
        <v>16</v>
      </c>
      <c r="C58" s="13648" t="s">
        <v>2589</v>
      </c>
      <c r="D58" s="13648" t="s">
        <v>2590</v>
      </c>
      <c r="E58" s="13648" t="s">
        <v>2591</v>
      </c>
      <c r="F58" s="13648" t="s">
        <v>56</v>
      </c>
      <c r="G58" s="13648" t="s">
        <v>2592</v>
      </c>
      <c r="H58" s="13648" t="s">
        <v>28</v>
      </c>
      <c r="I58" s="13648" t="s">
        <v>940</v>
      </c>
    </row>
    <row customHeight="1" ht="11.25">
      <c r="A59" s="13648" t="s">
        <v>2383</v>
      </c>
      <c r="B59" s="13648" t="s">
        <v>16</v>
      </c>
      <c r="C59" s="13648" t="s">
        <v>2593</v>
      </c>
      <c r="D59" s="13648" t="s">
        <v>2594</v>
      </c>
      <c r="E59" s="13648" t="s">
        <v>2595</v>
      </c>
      <c r="F59" s="13648" t="s">
        <v>2596</v>
      </c>
      <c r="G59" s="13648" t="s">
        <v>28</v>
      </c>
      <c r="H59" s="13648" t="s">
        <v>28</v>
      </c>
      <c r="I59" s="13648" t="s">
        <v>940</v>
      </c>
    </row>
    <row customHeight="1" ht="11.25">
      <c r="A60" s="13648" t="s">
        <v>2383</v>
      </c>
      <c r="B60" s="13648" t="s">
        <v>16</v>
      </c>
      <c r="C60" s="13648" t="s">
        <v>2597</v>
      </c>
      <c r="D60" s="13648" t="s">
        <v>2598</v>
      </c>
      <c r="E60" s="13648" t="s">
        <v>2599</v>
      </c>
      <c r="F60" s="13648" t="s">
        <v>2596</v>
      </c>
      <c r="G60" s="13648" t="s">
        <v>2600</v>
      </c>
      <c r="H60" s="13648" t="s">
        <v>28</v>
      </c>
      <c r="I60" s="13648" t="s">
        <v>940</v>
      </c>
    </row>
    <row customHeight="1" ht="11.25">
      <c r="A61" s="13648" t="s">
        <v>2383</v>
      </c>
      <c r="B61" s="13648" t="s">
        <v>16</v>
      </c>
      <c r="C61" s="13648" t="s">
        <v>2601</v>
      </c>
      <c r="D61" s="13648" t="s">
        <v>2602</v>
      </c>
      <c r="E61" s="13648" t="s">
        <v>2603</v>
      </c>
      <c r="F61" s="13648" t="s">
        <v>2457</v>
      </c>
      <c r="G61" s="13648" t="s">
        <v>28</v>
      </c>
      <c r="H61" s="13648" t="s">
        <v>28</v>
      </c>
      <c r="I61" s="13648" t="s">
        <v>940</v>
      </c>
    </row>
    <row customHeight="1" ht="11.25">
      <c r="A62" s="13648" t="s">
        <v>2383</v>
      </c>
      <c r="B62" s="13648" t="s">
        <v>16</v>
      </c>
      <c r="C62" s="13648" t="s">
        <v>2604</v>
      </c>
      <c r="D62" s="13648" t="s">
        <v>2605</v>
      </c>
      <c r="E62" s="13648" t="s">
        <v>2606</v>
      </c>
      <c r="F62" s="13648" t="s">
        <v>2395</v>
      </c>
      <c r="G62" s="13648" t="s">
        <v>28</v>
      </c>
      <c r="H62" s="13648" t="s">
        <v>28</v>
      </c>
      <c r="I62" s="13648" t="s">
        <v>940</v>
      </c>
    </row>
    <row customHeight="1" ht="11.25">
      <c r="A63" s="13648" t="s">
        <v>2383</v>
      </c>
      <c r="B63" s="13648" t="s">
        <v>16</v>
      </c>
      <c r="C63" s="13648" t="s">
        <v>2607</v>
      </c>
      <c r="D63" s="13648" t="s">
        <v>2608</v>
      </c>
      <c r="E63" s="13648" t="s">
        <v>2609</v>
      </c>
      <c r="F63" s="13648" t="s">
        <v>2387</v>
      </c>
      <c r="G63" s="13648" t="s">
        <v>28</v>
      </c>
      <c r="H63" s="13648" t="s">
        <v>28</v>
      </c>
      <c r="I63" s="13648" t="s">
        <v>940</v>
      </c>
    </row>
    <row customHeight="1" ht="11.25">
      <c r="A64" s="13648" t="s">
        <v>2383</v>
      </c>
      <c r="B64" s="13648" t="s">
        <v>16</v>
      </c>
      <c r="C64" s="13648" t="s">
        <v>2610</v>
      </c>
      <c r="D64" s="13648" t="s">
        <v>2611</v>
      </c>
      <c r="E64" s="13648" t="s">
        <v>2612</v>
      </c>
      <c r="F64" s="13648" t="s">
        <v>2613</v>
      </c>
      <c r="G64" s="13648" t="s">
        <v>28</v>
      </c>
      <c r="H64" s="13648" t="s">
        <v>28</v>
      </c>
      <c r="I64" s="13648" t="s">
        <v>940</v>
      </c>
    </row>
    <row customHeight="1" ht="11.25">
      <c r="A65" s="13648" t="s">
        <v>2383</v>
      </c>
      <c r="B65" s="13648" t="s">
        <v>16</v>
      </c>
      <c r="C65" s="13648" t="s">
        <v>2614</v>
      </c>
      <c r="D65" s="13648" t="s">
        <v>2615</v>
      </c>
      <c r="E65" s="13648" t="s">
        <v>2616</v>
      </c>
      <c r="F65" s="13648" t="s">
        <v>2617</v>
      </c>
      <c r="G65" s="13648" t="s">
        <v>28</v>
      </c>
      <c r="H65" s="13648" t="s">
        <v>28</v>
      </c>
      <c r="I65" s="13648" t="s">
        <v>940</v>
      </c>
    </row>
    <row customHeight="1" ht="11.25">
      <c r="A66" s="13648" t="s">
        <v>2383</v>
      </c>
      <c r="B66" s="13648" t="s">
        <v>16</v>
      </c>
      <c r="C66" s="13648" t="s">
        <v>2618</v>
      </c>
      <c r="D66" s="13648" t="s">
        <v>2619</v>
      </c>
      <c r="E66" s="13648" t="s">
        <v>2620</v>
      </c>
      <c r="F66" s="13648" t="s">
        <v>2395</v>
      </c>
      <c r="G66" s="13648" t="s">
        <v>28</v>
      </c>
      <c r="H66" s="13648" t="s">
        <v>28</v>
      </c>
      <c r="I66" s="13648" t="s">
        <v>940</v>
      </c>
    </row>
    <row customHeight="1" ht="11.25">
      <c r="A67" s="13648" t="s">
        <v>2383</v>
      </c>
      <c r="B67" s="13648" t="s">
        <v>16</v>
      </c>
      <c r="C67" s="13648" t="s">
        <v>2621</v>
      </c>
      <c r="D67" s="13648" t="s">
        <v>2622</v>
      </c>
      <c r="E67" s="13648" t="s">
        <v>2623</v>
      </c>
      <c r="F67" s="13648" t="s">
        <v>2395</v>
      </c>
      <c r="G67" s="13648" t="s">
        <v>28</v>
      </c>
      <c r="H67" s="13648" t="s">
        <v>28</v>
      </c>
      <c r="I67" s="13648" t="s">
        <v>940</v>
      </c>
    </row>
    <row customHeight="1" ht="11.25">
      <c r="A68" s="13648" t="s">
        <v>2383</v>
      </c>
      <c r="B68" s="13648" t="s">
        <v>16</v>
      </c>
      <c r="C68" s="13648" t="s">
        <v>2624</v>
      </c>
      <c r="D68" s="13648" t="s">
        <v>2625</v>
      </c>
      <c r="E68" s="13648" t="s">
        <v>2626</v>
      </c>
      <c r="F68" s="13648" t="s">
        <v>2627</v>
      </c>
      <c r="G68" s="13648" t="s">
        <v>28</v>
      </c>
      <c r="H68" s="13648" t="s">
        <v>28</v>
      </c>
      <c r="I68" s="13648" t="s">
        <v>940</v>
      </c>
    </row>
    <row customHeight="1" ht="11.25">
      <c r="A69" s="13648" t="s">
        <v>2383</v>
      </c>
      <c r="B69" s="13648" t="s">
        <v>16</v>
      </c>
      <c r="C69" s="13648" t="s">
        <v>2628</v>
      </c>
      <c r="D69" s="13648" t="s">
        <v>2629</v>
      </c>
      <c r="E69" s="13648" t="s">
        <v>2630</v>
      </c>
      <c r="F69" s="13648" t="s">
        <v>2395</v>
      </c>
      <c r="G69" s="13648" t="s">
        <v>28</v>
      </c>
      <c r="H69" s="13648" t="s">
        <v>2631</v>
      </c>
      <c r="I69" s="13648" t="s">
        <v>940</v>
      </c>
    </row>
    <row customHeight="1" ht="11.25">
      <c r="A70" s="13648" t="s">
        <v>2383</v>
      </c>
      <c r="B70" s="13648" t="s">
        <v>16</v>
      </c>
      <c r="C70" s="13648" t="s">
        <v>2632</v>
      </c>
      <c r="D70" s="13648" t="s">
        <v>2633</v>
      </c>
      <c r="E70" s="13648" t="s">
        <v>2634</v>
      </c>
      <c r="F70" s="13648" t="s">
        <v>2596</v>
      </c>
      <c r="G70" s="13648" t="s">
        <v>28</v>
      </c>
      <c r="H70" s="13648" t="s">
        <v>28</v>
      </c>
      <c r="I70" s="13648" t="s">
        <v>940</v>
      </c>
    </row>
    <row customHeight="1" ht="11.25">
      <c r="A71" s="13648" t="s">
        <v>2383</v>
      </c>
      <c r="B71" s="13648" t="s">
        <v>16</v>
      </c>
      <c r="C71" s="13648" t="s">
        <v>2635</v>
      </c>
      <c r="D71" s="13648" t="s">
        <v>2636</v>
      </c>
      <c r="E71" s="13648" t="s">
        <v>2637</v>
      </c>
      <c r="F71" s="13648" t="s">
        <v>2395</v>
      </c>
      <c r="G71" s="13648" t="s">
        <v>28</v>
      </c>
      <c r="H71" s="13648" t="s">
        <v>28</v>
      </c>
      <c r="I71" s="13648" t="s">
        <v>940</v>
      </c>
    </row>
    <row customHeight="1" ht="11.25">
      <c r="A72" s="13648" t="s">
        <v>2383</v>
      </c>
      <c r="B72" s="13648" t="s">
        <v>16</v>
      </c>
      <c r="C72" s="13648" t="s">
        <v>2638</v>
      </c>
      <c r="D72" s="13648" t="s">
        <v>2639</v>
      </c>
      <c r="E72" s="13648" t="s">
        <v>2640</v>
      </c>
      <c r="F72" s="13648" t="s">
        <v>2641</v>
      </c>
      <c r="G72" s="13648" t="s">
        <v>28</v>
      </c>
      <c r="H72" s="13648" t="s">
        <v>28</v>
      </c>
      <c r="I72" s="13648" t="s">
        <v>940</v>
      </c>
    </row>
    <row customHeight="1" ht="11.25">
      <c r="A73" s="13648" t="s">
        <v>2383</v>
      </c>
      <c r="B73" s="13648" t="s">
        <v>16</v>
      </c>
      <c r="C73" s="13648" t="s">
        <v>2642</v>
      </c>
      <c r="D73" s="13648" t="s">
        <v>2643</v>
      </c>
      <c r="E73" s="13648" t="s">
        <v>2644</v>
      </c>
      <c r="F73" s="13648" t="s">
        <v>2645</v>
      </c>
      <c r="G73" s="13648" t="s">
        <v>28</v>
      </c>
      <c r="H73" s="13648" t="s">
        <v>28</v>
      </c>
      <c r="I73" s="13648" t="s">
        <v>940</v>
      </c>
    </row>
    <row customHeight="1" ht="11.25">
      <c r="A74" s="13648" t="s">
        <v>2383</v>
      </c>
      <c r="B74" s="13648" t="s">
        <v>16</v>
      </c>
      <c r="C74" s="13648" t="s">
        <v>2646</v>
      </c>
      <c r="D74" s="13648" t="s">
        <v>2647</v>
      </c>
      <c r="E74" s="13648" t="s">
        <v>2648</v>
      </c>
      <c r="F74" s="13648" t="s">
        <v>2649</v>
      </c>
      <c r="G74" s="13648" t="s">
        <v>2650</v>
      </c>
      <c r="H74" s="13648" t="s">
        <v>28</v>
      </c>
      <c r="I74" s="13648" t="s">
        <v>940</v>
      </c>
    </row>
    <row customHeight="1" ht="11.25">
      <c r="A75" s="13648" t="s">
        <v>2383</v>
      </c>
      <c r="B75" s="13648" t="s">
        <v>16</v>
      </c>
      <c r="C75" s="13648" t="s">
        <v>2651</v>
      </c>
      <c r="D75" s="13648" t="s">
        <v>2652</v>
      </c>
      <c r="E75" s="13648" t="s">
        <v>2399</v>
      </c>
      <c r="F75" s="13648" t="s">
        <v>2653</v>
      </c>
      <c r="G75" s="13648" t="s">
        <v>28</v>
      </c>
      <c r="H75" s="13648" t="s">
        <v>28</v>
      </c>
      <c r="I75" s="13648" t="s">
        <v>940</v>
      </c>
    </row>
    <row customHeight="1" ht="11.25">
      <c r="A76" s="13648" t="s">
        <v>2383</v>
      </c>
      <c r="B76" s="13648" t="s">
        <v>16</v>
      </c>
      <c r="C76" s="13648" t="s">
        <v>2654</v>
      </c>
      <c r="D76" s="13648" t="s">
        <v>2655</v>
      </c>
      <c r="E76" s="13648" t="s">
        <v>2414</v>
      </c>
      <c r="F76" s="13648" t="s">
        <v>2478</v>
      </c>
      <c r="G76" s="13648" t="s">
        <v>28</v>
      </c>
      <c r="H76" s="13648" t="s">
        <v>28</v>
      </c>
      <c r="I76" s="13648" t="s">
        <v>940</v>
      </c>
    </row>
    <row customHeight="1" ht="11.25">
      <c r="A77" s="13648" t="s">
        <v>2383</v>
      </c>
      <c r="B77" s="13648" t="s">
        <v>16</v>
      </c>
      <c r="C77" s="13648" t="s">
        <v>2656</v>
      </c>
      <c r="D77" s="13648" t="s">
        <v>2657</v>
      </c>
      <c r="E77" s="13648" t="s">
        <v>2658</v>
      </c>
      <c r="F77" s="13648" t="s">
        <v>2580</v>
      </c>
      <c r="G77" s="13648" t="s">
        <v>28</v>
      </c>
      <c r="H77" s="13648" t="s">
        <v>28</v>
      </c>
      <c r="I77" s="13648" t="s">
        <v>940</v>
      </c>
    </row>
    <row customHeight="1" ht="11.25">
      <c r="A78" s="13648" t="s">
        <v>2383</v>
      </c>
      <c r="B78" s="13648" t="s">
        <v>16</v>
      </c>
      <c r="C78" s="13648" t="s">
        <v>2659</v>
      </c>
      <c r="D78" s="13648" t="s">
        <v>2660</v>
      </c>
      <c r="E78" s="13648" t="s">
        <v>2661</v>
      </c>
      <c r="F78" s="13648" t="s">
        <v>2580</v>
      </c>
      <c r="G78" s="13648" t="s">
        <v>28</v>
      </c>
      <c r="H78" s="13648" t="s">
        <v>28</v>
      </c>
      <c r="I78" s="13648" t="s">
        <v>940</v>
      </c>
    </row>
    <row customHeight="1" ht="11.25">
      <c r="A79" s="13648" t="s">
        <v>2383</v>
      </c>
      <c r="B79" s="13648" t="s">
        <v>16</v>
      </c>
      <c r="C79" s="13648" t="s">
        <v>2662</v>
      </c>
      <c r="D79" s="13648" t="s">
        <v>2663</v>
      </c>
      <c r="E79" s="13648" t="s">
        <v>2437</v>
      </c>
      <c r="F79" s="13648" t="s">
        <v>2664</v>
      </c>
      <c r="G79" s="13648" t="s">
        <v>28</v>
      </c>
      <c r="H79" s="13648" t="s">
        <v>28</v>
      </c>
      <c r="I79" s="13648" t="s">
        <v>940</v>
      </c>
    </row>
    <row customHeight="1" ht="11.25">
      <c r="A80" s="13648" t="s">
        <v>2383</v>
      </c>
      <c r="B80" s="13648" t="s">
        <v>16</v>
      </c>
      <c r="C80" s="13648" t="s">
        <v>2665</v>
      </c>
      <c r="D80" s="13648" t="s">
        <v>2666</v>
      </c>
      <c r="E80" s="13648" t="s">
        <v>2419</v>
      </c>
      <c r="F80" s="13648" t="s">
        <v>2403</v>
      </c>
      <c r="G80" s="13648" t="s">
        <v>28</v>
      </c>
      <c r="H80" s="13648" t="s">
        <v>28</v>
      </c>
      <c r="I80" s="13648" t="s">
        <v>940</v>
      </c>
    </row>
    <row customHeight="1" ht="11.25">
      <c r="A81" s="13648" t="s">
        <v>2383</v>
      </c>
      <c r="B81" s="13648" t="s">
        <v>16</v>
      </c>
      <c r="C81" s="13648" t="s">
        <v>2667</v>
      </c>
      <c r="D81" s="13648" t="s">
        <v>2668</v>
      </c>
      <c r="E81" s="13648" t="s">
        <v>2669</v>
      </c>
      <c r="F81" s="13648" t="s">
        <v>2670</v>
      </c>
      <c r="G81" s="13648" t="s">
        <v>28</v>
      </c>
      <c r="H81" s="13648" t="s">
        <v>28</v>
      </c>
      <c r="I81" s="13648" t="s">
        <v>940</v>
      </c>
    </row>
    <row customHeight="1" ht="11.25">
      <c r="A82" s="13648" t="s">
        <v>2383</v>
      </c>
      <c r="B82" s="13648" t="s">
        <v>16</v>
      </c>
      <c r="C82" s="13648" t="s">
        <v>2388</v>
      </c>
      <c r="D82" s="13648" t="s">
        <v>2389</v>
      </c>
      <c r="E82" s="13648" t="s">
        <v>2390</v>
      </c>
      <c r="F82" s="13648" t="s">
        <v>56</v>
      </c>
      <c r="G82" s="13648" t="s">
        <v>2391</v>
      </c>
      <c r="H82" s="13648" t="s">
        <v>28</v>
      </c>
      <c r="I82" s="13648" t="s">
        <v>1026</v>
      </c>
    </row>
    <row customHeight="1" ht="11.25">
      <c r="A83" s="13648" t="s">
        <v>2383</v>
      </c>
      <c r="B83" s="13648" t="s">
        <v>16</v>
      </c>
      <c r="C83" s="13648" t="s">
        <v>2401</v>
      </c>
      <c r="D83" s="13648" t="s">
        <v>2402</v>
      </c>
      <c r="E83" s="13648" t="s">
        <v>2399</v>
      </c>
      <c r="F83" s="13648" t="s">
        <v>2403</v>
      </c>
      <c r="G83" s="13648" t="s">
        <v>28</v>
      </c>
      <c r="H83" s="13648" t="s">
        <v>28</v>
      </c>
      <c r="I83" s="13648" t="s">
        <v>1026</v>
      </c>
    </row>
    <row customHeight="1" ht="11.25">
      <c r="A84" s="13648" t="s">
        <v>2383</v>
      </c>
      <c r="B84" s="13648" t="s">
        <v>16</v>
      </c>
      <c r="C84" s="13648" t="s">
        <v>2404</v>
      </c>
      <c r="D84" s="13648" t="s">
        <v>2405</v>
      </c>
      <c r="E84" s="13648" t="s">
        <v>2406</v>
      </c>
      <c r="F84" s="13648" t="s">
        <v>2407</v>
      </c>
      <c r="G84" s="13648" t="s">
        <v>28</v>
      </c>
      <c r="H84" s="13648" t="s">
        <v>28</v>
      </c>
      <c r="I84" s="13648" t="s">
        <v>1026</v>
      </c>
    </row>
    <row customHeight="1" ht="11.25">
      <c r="A85" s="13648" t="s">
        <v>2383</v>
      </c>
      <c r="B85" s="13648" t="s">
        <v>16</v>
      </c>
      <c r="C85" s="13648" t="s">
        <v>2417</v>
      </c>
      <c r="D85" s="13648" t="s">
        <v>2418</v>
      </c>
      <c r="E85" s="13648" t="s">
        <v>2419</v>
      </c>
      <c r="F85" s="13648" t="s">
        <v>2420</v>
      </c>
      <c r="G85" s="13648" t="s">
        <v>28</v>
      </c>
      <c r="H85" s="13648" t="s">
        <v>28</v>
      </c>
      <c r="I85" s="13648" t="s">
        <v>1026</v>
      </c>
    </row>
    <row customHeight="1" ht="11.25">
      <c r="A86" s="13648" t="s">
        <v>2383</v>
      </c>
      <c r="B86" s="13648" t="s">
        <v>16</v>
      </c>
      <c r="C86" s="13648" t="s">
        <v>2671</v>
      </c>
      <c r="D86" s="13648" t="s">
        <v>2672</v>
      </c>
      <c r="E86" s="13648" t="s">
        <v>2437</v>
      </c>
      <c r="F86" s="13648" t="s">
        <v>2673</v>
      </c>
      <c r="G86" s="13648" t="s">
        <v>2674</v>
      </c>
      <c r="H86" s="13648" t="s">
        <v>28</v>
      </c>
      <c r="I86" s="13648" t="s">
        <v>1026</v>
      </c>
    </row>
    <row customHeight="1" ht="11.25">
      <c r="A87" s="13648" t="s">
        <v>2383</v>
      </c>
      <c r="B87" s="13648" t="s">
        <v>16</v>
      </c>
      <c r="C87" s="13648" t="s">
        <v>2442</v>
      </c>
      <c r="D87" s="13648" t="s">
        <v>2443</v>
      </c>
      <c r="E87" s="13648" t="s">
        <v>2444</v>
      </c>
      <c r="F87" s="13648" t="s">
        <v>2395</v>
      </c>
      <c r="G87" s="13648" t="s">
        <v>28</v>
      </c>
      <c r="H87" s="13648" t="s">
        <v>28</v>
      </c>
      <c r="I87" s="13648" t="s">
        <v>1026</v>
      </c>
    </row>
    <row customHeight="1" ht="11.25">
      <c r="A88" s="13648" t="s">
        <v>2383</v>
      </c>
      <c r="B88" s="13648" t="s">
        <v>16</v>
      </c>
      <c r="C88" s="13648" t="s">
        <v>2445</v>
      </c>
      <c r="D88" s="13648" t="s">
        <v>2446</v>
      </c>
      <c r="E88" s="13648" t="s">
        <v>2447</v>
      </c>
      <c r="F88" s="13648" t="s">
        <v>708</v>
      </c>
      <c r="G88" s="13648" t="s">
        <v>28</v>
      </c>
      <c r="H88" s="13648" t="s">
        <v>28</v>
      </c>
      <c r="I88" s="13648" t="s">
        <v>1026</v>
      </c>
    </row>
    <row customHeight="1" ht="11.25">
      <c r="A89" s="13648" t="s">
        <v>2383</v>
      </c>
      <c r="B89" s="13648" t="s">
        <v>16</v>
      </c>
      <c r="C89" s="13648" t="s">
        <v>28</v>
      </c>
      <c r="D89" s="13648" t="s">
        <v>2448</v>
      </c>
      <c r="E89" s="13648" t="s">
        <v>2449</v>
      </c>
      <c r="F89" s="13648" t="s">
        <v>2395</v>
      </c>
      <c r="G89" s="13648" t="s">
        <v>28</v>
      </c>
      <c r="H89" s="13648" t="s">
        <v>28</v>
      </c>
      <c r="I89" s="13648" t="s">
        <v>1026</v>
      </c>
    </row>
    <row customHeight="1" ht="11.25">
      <c r="A90" s="13648" t="s">
        <v>2383</v>
      </c>
      <c r="B90" s="13648" t="s">
        <v>16</v>
      </c>
      <c r="C90" s="13648" t="s">
        <v>2450</v>
      </c>
      <c r="D90" s="13648" t="s">
        <v>2451</v>
      </c>
      <c r="E90" s="13648" t="s">
        <v>2452</v>
      </c>
      <c r="F90" s="13648" t="s">
        <v>2403</v>
      </c>
      <c r="G90" s="13648" t="s">
        <v>2453</v>
      </c>
      <c r="H90" s="13648" t="s">
        <v>28</v>
      </c>
      <c r="I90" s="13648" t="s">
        <v>1026</v>
      </c>
    </row>
    <row customHeight="1" ht="11.25">
      <c r="A91" s="13648" t="s">
        <v>2383</v>
      </c>
      <c r="B91" s="13648" t="s">
        <v>16</v>
      </c>
      <c r="C91" s="13648" t="s">
        <v>2468</v>
      </c>
      <c r="D91" s="13648" t="s">
        <v>2469</v>
      </c>
      <c r="E91" s="13648" t="s">
        <v>2470</v>
      </c>
      <c r="F91" s="13648" t="s">
        <v>2471</v>
      </c>
      <c r="G91" s="13648" t="s">
        <v>28</v>
      </c>
      <c r="H91" s="13648" t="s">
        <v>28</v>
      </c>
      <c r="I91" s="13648" t="s">
        <v>1026</v>
      </c>
    </row>
    <row customHeight="1" ht="11.25">
      <c r="A92" s="13648" t="s">
        <v>2383</v>
      </c>
      <c r="B92" s="13648" t="s">
        <v>16</v>
      </c>
      <c r="C92" s="13648" t="s">
        <v>2472</v>
      </c>
      <c r="D92" s="13648" t="s">
        <v>2473</v>
      </c>
      <c r="E92" s="13648" t="s">
        <v>2474</v>
      </c>
      <c r="F92" s="13648" t="s">
        <v>2395</v>
      </c>
      <c r="G92" s="13648" t="s">
        <v>28</v>
      </c>
      <c r="H92" s="13648" t="s">
        <v>28</v>
      </c>
      <c r="I92" s="13648" t="s">
        <v>1026</v>
      </c>
    </row>
    <row customHeight="1" ht="11.25">
      <c r="A93" s="13648" t="s">
        <v>2383</v>
      </c>
      <c r="B93" s="13648" t="s">
        <v>16</v>
      </c>
      <c r="C93" s="13648" t="s">
        <v>2475</v>
      </c>
      <c r="D93" s="13648" t="s">
        <v>2476</v>
      </c>
      <c r="E93" s="13648" t="s">
        <v>2477</v>
      </c>
      <c r="F93" s="13648" t="s">
        <v>2478</v>
      </c>
      <c r="G93" s="13648" t="s">
        <v>28</v>
      </c>
      <c r="H93" s="13648" t="s">
        <v>28</v>
      </c>
      <c r="I93" s="13648" t="s">
        <v>1026</v>
      </c>
    </row>
    <row customHeight="1" ht="11.25">
      <c r="A94" s="13648" t="s">
        <v>2383</v>
      </c>
      <c r="B94" s="13648" t="s">
        <v>16</v>
      </c>
      <c r="C94" s="13648" t="s">
        <v>2479</v>
      </c>
      <c r="D94" s="13648" t="s">
        <v>2480</v>
      </c>
      <c r="E94" s="13648" t="s">
        <v>2481</v>
      </c>
      <c r="F94" s="13648" t="s">
        <v>2471</v>
      </c>
      <c r="G94" s="13648" t="s">
        <v>28</v>
      </c>
      <c r="H94" s="13648" t="s">
        <v>28</v>
      </c>
      <c r="I94" s="13648" t="s">
        <v>1026</v>
      </c>
    </row>
    <row customHeight="1" ht="11.25">
      <c r="A95" s="13648" t="s">
        <v>2383</v>
      </c>
      <c r="B95" s="13648" t="s">
        <v>16</v>
      </c>
      <c r="C95" s="13648" t="s">
        <v>2485</v>
      </c>
      <c r="D95" s="13648" t="s">
        <v>2486</v>
      </c>
      <c r="E95" s="13648" t="s">
        <v>2487</v>
      </c>
      <c r="F95" s="13648" t="s">
        <v>2478</v>
      </c>
      <c r="G95" s="13648" t="s">
        <v>28</v>
      </c>
      <c r="H95" s="13648" t="s">
        <v>28</v>
      </c>
      <c r="I95" s="13648" t="s">
        <v>1026</v>
      </c>
    </row>
    <row customHeight="1" ht="11.25">
      <c r="A96" s="13648" t="s">
        <v>2383</v>
      </c>
      <c r="B96" s="13648" t="s">
        <v>16</v>
      </c>
      <c r="C96" s="13648" t="s">
        <v>13</v>
      </c>
      <c r="D96" s="13648" t="s">
        <v>51</v>
      </c>
      <c r="E96" s="13648" t="s">
        <v>54</v>
      </c>
      <c r="F96" s="13648" t="s">
        <v>56</v>
      </c>
      <c r="G96" s="13648" t="s">
        <v>28</v>
      </c>
      <c r="H96" s="13648" t="s">
        <v>28</v>
      </c>
      <c r="I96" s="13648" t="s">
        <v>1026</v>
      </c>
    </row>
    <row customHeight="1" ht="11.25">
      <c r="A97" s="13648" t="s">
        <v>2383</v>
      </c>
      <c r="B97" s="13648" t="s">
        <v>16</v>
      </c>
      <c r="C97" s="13648" t="s">
        <v>2502</v>
      </c>
      <c r="D97" s="13648" t="s">
        <v>2503</v>
      </c>
      <c r="E97" s="13648" t="s">
        <v>2504</v>
      </c>
      <c r="F97" s="13648" t="s">
        <v>2505</v>
      </c>
      <c r="G97" s="13648" t="s">
        <v>28</v>
      </c>
      <c r="H97" s="13648" t="s">
        <v>28</v>
      </c>
      <c r="I97" s="13648" t="s">
        <v>1026</v>
      </c>
    </row>
    <row customHeight="1" ht="11.25">
      <c r="A98" s="13648" t="s">
        <v>2383</v>
      </c>
      <c r="B98" s="13648" t="s">
        <v>16</v>
      </c>
      <c r="C98" s="13648" t="s">
        <v>2519</v>
      </c>
      <c r="D98" s="13648" t="s">
        <v>2520</v>
      </c>
      <c r="E98" s="13648" t="s">
        <v>2521</v>
      </c>
      <c r="F98" s="13648" t="s">
        <v>2478</v>
      </c>
      <c r="G98" s="13648" t="s">
        <v>28</v>
      </c>
      <c r="H98" s="13648" t="s">
        <v>28</v>
      </c>
      <c r="I98" s="13648" t="s">
        <v>1026</v>
      </c>
    </row>
    <row customHeight="1" ht="11.25">
      <c r="A99" s="13648" t="s">
        <v>2383</v>
      </c>
      <c r="B99" s="13648" t="s">
        <v>16</v>
      </c>
      <c r="C99" s="13648" t="s">
        <v>2525</v>
      </c>
      <c r="D99" s="13648" t="s">
        <v>2526</v>
      </c>
      <c r="E99" s="13648" t="s">
        <v>2527</v>
      </c>
      <c r="F99" s="13648" t="s">
        <v>2528</v>
      </c>
      <c r="G99" s="13648" t="s">
        <v>2529</v>
      </c>
      <c r="H99" s="13648" t="s">
        <v>28</v>
      </c>
      <c r="I99" s="13648" t="s">
        <v>1026</v>
      </c>
    </row>
    <row customHeight="1" ht="11.25">
      <c r="A100" s="13648" t="s">
        <v>2383</v>
      </c>
      <c r="B100" s="13648" t="s">
        <v>16</v>
      </c>
      <c r="C100" s="13648" t="s">
        <v>2530</v>
      </c>
      <c r="D100" s="13648" t="s">
        <v>2531</v>
      </c>
      <c r="E100" s="13648" t="s">
        <v>2532</v>
      </c>
      <c r="F100" s="13648" t="s">
        <v>2533</v>
      </c>
      <c r="G100" s="13648" t="s">
        <v>28</v>
      </c>
      <c r="H100" s="13648" t="s">
        <v>28</v>
      </c>
      <c r="I100" s="13648" t="s">
        <v>1026</v>
      </c>
    </row>
    <row customHeight="1" ht="11.25">
      <c r="A101" s="13648" t="s">
        <v>2383</v>
      </c>
      <c r="B101" s="13648" t="s">
        <v>16</v>
      </c>
      <c r="C101" s="13648" t="s">
        <v>2534</v>
      </c>
      <c r="D101" s="13648" t="s">
        <v>2535</v>
      </c>
      <c r="E101" s="13648" t="s">
        <v>2536</v>
      </c>
      <c r="F101" s="13648" t="s">
        <v>2478</v>
      </c>
      <c r="G101" s="13648" t="s">
        <v>28</v>
      </c>
      <c r="H101" s="13648" t="s">
        <v>28</v>
      </c>
      <c r="I101" s="13648" t="s">
        <v>1026</v>
      </c>
    </row>
    <row customHeight="1" ht="11.25">
      <c r="A102" s="13648" t="s">
        <v>2383</v>
      </c>
      <c r="B102" s="13648" t="s">
        <v>16</v>
      </c>
      <c r="C102" s="13648" t="s">
        <v>2541</v>
      </c>
      <c r="D102" s="13648" t="s">
        <v>2542</v>
      </c>
      <c r="E102" s="13648" t="s">
        <v>2543</v>
      </c>
      <c r="F102" s="13648" t="s">
        <v>2478</v>
      </c>
      <c r="G102" s="13648" t="s">
        <v>28</v>
      </c>
      <c r="H102" s="13648" t="s">
        <v>28</v>
      </c>
      <c r="I102" s="13648" t="s">
        <v>1026</v>
      </c>
    </row>
    <row customHeight="1" ht="11.25">
      <c r="A103" s="13648" t="s">
        <v>2383</v>
      </c>
      <c r="B103" s="13648" t="s">
        <v>16</v>
      </c>
      <c r="C103" s="13648" t="s">
        <v>2544</v>
      </c>
      <c r="D103" s="13648" t="s">
        <v>2545</v>
      </c>
      <c r="E103" s="13648" t="s">
        <v>2546</v>
      </c>
      <c r="F103" s="13648" t="s">
        <v>2478</v>
      </c>
      <c r="G103" s="13648" t="s">
        <v>2547</v>
      </c>
      <c r="H103" s="13648" t="s">
        <v>28</v>
      </c>
      <c r="I103" s="13648" t="s">
        <v>1026</v>
      </c>
    </row>
    <row customHeight="1" ht="11.25">
      <c r="A104" s="13648" t="s">
        <v>2383</v>
      </c>
      <c r="B104" s="13648" t="s">
        <v>16</v>
      </c>
      <c r="C104" s="13648" t="s">
        <v>2555</v>
      </c>
      <c r="D104" s="13648" t="s">
        <v>2556</v>
      </c>
      <c r="E104" s="13648" t="s">
        <v>2557</v>
      </c>
      <c r="F104" s="13648" t="s">
        <v>2558</v>
      </c>
      <c r="G104" s="13648" t="s">
        <v>28</v>
      </c>
      <c r="H104" s="13648" t="s">
        <v>28</v>
      </c>
      <c r="I104" s="13648" t="s">
        <v>1026</v>
      </c>
    </row>
    <row customHeight="1" ht="11.25">
      <c r="A105" s="13648" t="s">
        <v>2383</v>
      </c>
      <c r="B105" s="13648" t="s">
        <v>16</v>
      </c>
      <c r="C105" s="13648" t="s">
        <v>2559</v>
      </c>
      <c r="D105" s="13648" t="s">
        <v>2560</v>
      </c>
      <c r="E105" s="13648" t="s">
        <v>2561</v>
      </c>
      <c r="F105" s="13648" t="s">
        <v>2478</v>
      </c>
      <c r="G105" s="13648" t="s">
        <v>28</v>
      </c>
      <c r="H105" s="13648" t="s">
        <v>28</v>
      </c>
      <c r="I105" s="13648" t="s">
        <v>1026</v>
      </c>
    </row>
    <row customHeight="1" ht="11.25">
      <c r="A106" s="13648" t="s">
        <v>2383</v>
      </c>
      <c r="B106" s="13648" t="s">
        <v>16</v>
      </c>
      <c r="C106" s="13648" t="s">
        <v>2562</v>
      </c>
      <c r="D106" s="13648" t="s">
        <v>2563</v>
      </c>
      <c r="E106" s="13648" t="s">
        <v>2564</v>
      </c>
      <c r="F106" s="13648" t="s">
        <v>2565</v>
      </c>
      <c r="G106" s="13648" t="s">
        <v>2566</v>
      </c>
      <c r="H106" s="13648" t="s">
        <v>28</v>
      </c>
      <c r="I106" s="13648" t="s">
        <v>1026</v>
      </c>
    </row>
    <row customHeight="1" ht="11.25">
      <c r="A107" s="13648" t="s">
        <v>2383</v>
      </c>
      <c r="B107" s="13648" t="s">
        <v>16</v>
      </c>
      <c r="C107" s="13648" t="s">
        <v>2573</v>
      </c>
      <c r="D107" s="13648" t="s">
        <v>2574</v>
      </c>
      <c r="E107" s="13648" t="s">
        <v>2575</v>
      </c>
      <c r="F107" s="13648" t="s">
        <v>2576</v>
      </c>
      <c r="G107" s="13648" t="s">
        <v>28</v>
      </c>
      <c r="H107" s="13648" t="s">
        <v>28</v>
      </c>
      <c r="I107" s="13648" t="s">
        <v>1026</v>
      </c>
    </row>
    <row customHeight="1" ht="11.25">
      <c r="A108" s="13648" t="s">
        <v>2383</v>
      </c>
      <c r="B108" s="13648" t="s">
        <v>16</v>
      </c>
      <c r="C108" s="13648" t="s">
        <v>2577</v>
      </c>
      <c r="D108" s="13648" t="s">
        <v>2578</v>
      </c>
      <c r="E108" s="13648" t="s">
        <v>2579</v>
      </c>
      <c r="F108" s="13648" t="s">
        <v>2580</v>
      </c>
      <c r="G108" s="13648" t="s">
        <v>2581</v>
      </c>
      <c r="H108" s="13648" t="s">
        <v>28</v>
      </c>
      <c r="I108" s="13648" t="s">
        <v>1026</v>
      </c>
    </row>
    <row customHeight="1" ht="11.25">
      <c r="A109" s="13648" t="s">
        <v>2383</v>
      </c>
      <c r="B109" s="13648" t="s">
        <v>16</v>
      </c>
      <c r="C109" s="13648" t="s">
        <v>2586</v>
      </c>
      <c r="D109" s="13648" t="s">
        <v>2587</v>
      </c>
      <c r="E109" s="13648" t="s">
        <v>2588</v>
      </c>
      <c r="F109" s="13648" t="s">
        <v>56</v>
      </c>
      <c r="G109" s="13648" t="s">
        <v>28</v>
      </c>
      <c r="H109" s="13648" t="s">
        <v>28</v>
      </c>
      <c r="I109" s="13648" t="s">
        <v>1026</v>
      </c>
    </row>
    <row customHeight="1" ht="11.25">
      <c r="A110" s="13648" t="s">
        <v>2383</v>
      </c>
      <c r="B110" s="13648" t="s">
        <v>16</v>
      </c>
      <c r="C110" s="13648" t="s">
        <v>2589</v>
      </c>
      <c r="D110" s="13648" t="s">
        <v>2590</v>
      </c>
      <c r="E110" s="13648" t="s">
        <v>2591</v>
      </c>
      <c r="F110" s="13648" t="s">
        <v>56</v>
      </c>
      <c r="G110" s="13648" t="s">
        <v>2592</v>
      </c>
      <c r="H110" s="13648" t="s">
        <v>28</v>
      </c>
      <c r="I110" s="13648" t="s">
        <v>1026</v>
      </c>
    </row>
    <row customHeight="1" ht="11.25">
      <c r="A111" s="13648" t="s">
        <v>2383</v>
      </c>
      <c r="B111" s="13648" t="s">
        <v>16</v>
      </c>
      <c r="C111" s="13648" t="s">
        <v>2604</v>
      </c>
      <c r="D111" s="13648" t="s">
        <v>2605</v>
      </c>
      <c r="E111" s="13648" t="s">
        <v>2606</v>
      </c>
      <c r="F111" s="13648" t="s">
        <v>2395</v>
      </c>
      <c r="G111" s="13648" t="s">
        <v>28</v>
      </c>
      <c r="H111" s="13648" t="s">
        <v>28</v>
      </c>
      <c r="I111" s="13648" t="s">
        <v>1026</v>
      </c>
    </row>
    <row customHeight="1" ht="11.25">
      <c r="A112" s="13648" t="s">
        <v>2383</v>
      </c>
      <c r="B112" s="13648" t="s">
        <v>16</v>
      </c>
      <c r="C112" s="13648" t="s">
        <v>2624</v>
      </c>
      <c r="D112" s="13648" t="s">
        <v>2625</v>
      </c>
      <c r="E112" s="13648" t="s">
        <v>2626</v>
      </c>
      <c r="F112" s="13648" t="s">
        <v>2627</v>
      </c>
      <c r="G112" s="13648" t="s">
        <v>28</v>
      </c>
      <c r="H112" s="13648" t="s">
        <v>28</v>
      </c>
      <c r="I112" s="13648" t="s">
        <v>1026</v>
      </c>
    </row>
    <row customHeight="1" ht="11.25">
      <c r="A113" s="13648" t="s">
        <v>2383</v>
      </c>
      <c r="B113" s="13648" t="s">
        <v>16</v>
      </c>
      <c r="C113" s="13648" t="s">
        <v>2642</v>
      </c>
      <c r="D113" s="13648" t="s">
        <v>2643</v>
      </c>
      <c r="E113" s="13648" t="s">
        <v>2644</v>
      </c>
      <c r="F113" s="13648" t="s">
        <v>2645</v>
      </c>
      <c r="G113" s="13648" t="s">
        <v>28</v>
      </c>
      <c r="H113" s="13648" t="s">
        <v>28</v>
      </c>
      <c r="I113" s="13648" t="s">
        <v>1026</v>
      </c>
    </row>
    <row customHeight="1" ht="11.25">
      <c r="A114" s="13648" t="s">
        <v>2383</v>
      </c>
      <c r="B114" s="13648" t="s">
        <v>16</v>
      </c>
      <c r="C114" s="13648" t="s">
        <v>2646</v>
      </c>
      <c r="D114" s="13648" t="s">
        <v>2647</v>
      </c>
      <c r="E114" s="13648" t="s">
        <v>2648</v>
      </c>
      <c r="F114" s="13648" t="s">
        <v>2649</v>
      </c>
      <c r="G114" s="13648" t="s">
        <v>2650</v>
      </c>
      <c r="H114" s="13648" t="s">
        <v>28</v>
      </c>
      <c r="I114" s="13648" t="s">
        <v>1026</v>
      </c>
    </row>
    <row customHeight="1" ht="11.25">
      <c r="A115" s="13648" t="s">
        <v>2383</v>
      </c>
      <c r="B115" s="13648" t="s">
        <v>16</v>
      </c>
      <c r="C115" s="13648" t="s">
        <v>2651</v>
      </c>
      <c r="D115" s="13648" t="s">
        <v>2652</v>
      </c>
      <c r="E115" s="13648" t="s">
        <v>2399</v>
      </c>
      <c r="F115" s="13648" t="s">
        <v>2653</v>
      </c>
      <c r="G115" s="13648" t="s">
        <v>28</v>
      </c>
      <c r="H115" s="13648" t="s">
        <v>28</v>
      </c>
      <c r="I115" s="13648" t="s">
        <v>1026</v>
      </c>
    </row>
    <row customHeight="1" ht="11.25">
      <c r="A116" s="13648" t="s">
        <v>2383</v>
      </c>
      <c r="B116" s="13648" t="s">
        <v>16</v>
      </c>
      <c r="C116" s="13648" t="s">
        <v>2654</v>
      </c>
      <c r="D116" s="13648" t="s">
        <v>2655</v>
      </c>
      <c r="E116" s="13648" t="s">
        <v>2414</v>
      </c>
      <c r="F116" s="13648" t="s">
        <v>2478</v>
      </c>
      <c r="G116" s="13648" t="s">
        <v>28</v>
      </c>
      <c r="H116" s="13648" t="s">
        <v>28</v>
      </c>
      <c r="I116" s="13648" t="s">
        <v>1026</v>
      </c>
    </row>
    <row customHeight="1" ht="11.25">
      <c r="A117" s="13648" t="s">
        <v>2383</v>
      </c>
      <c r="B117" s="13648" t="s">
        <v>16</v>
      </c>
      <c r="C117" s="13648" t="s">
        <v>2659</v>
      </c>
      <c r="D117" s="13648" t="s">
        <v>2660</v>
      </c>
      <c r="E117" s="13648" t="s">
        <v>2661</v>
      </c>
      <c r="F117" s="13648" t="s">
        <v>2580</v>
      </c>
      <c r="G117" s="13648" t="s">
        <v>28</v>
      </c>
      <c r="H117" s="13648" t="s">
        <v>28</v>
      </c>
      <c r="I117" s="13648" t="s">
        <v>1026</v>
      </c>
    </row>
    <row customHeight="1" ht="11.25">
      <c r="A118" s="13648" t="s">
        <v>2383</v>
      </c>
      <c r="B118" s="13648" t="s">
        <v>16</v>
      </c>
      <c r="C118" s="13648" t="s">
        <v>2665</v>
      </c>
      <c r="D118" s="13648" t="s">
        <v>2666</v>
      </c>
      <c r="E118" s="13648" t="s">
        <v>2419</v>
      </c>
      <c r="F118" s="13648" t="s">
        <v>2403</v>
      </c>
      <c r="G118" s="13648" t="s">
        <v>28</v>
      </c>
      <c r="H118" s="13648" t="s">
        <v>28</v>
      </c>
      <c r="I118" s="13648" t="s">
        <v>1026</v>
      </c>
    </row>
    <row customHeight="1" ht="11.25">
      <c r="A119" s="13648" t="s">
        <v>2383</v>
      </c>
      <c r="B119" s="13648" t="s">
        <v>16</v>
      </c>
      <c r="C119" s="13648" t="s">
        <v>2667</v>
      </c>
      <c r="D119" s="13648" t="s">
        <v>2668</v>
      </c>
      <c r="E119" s="13648" t="s">
        <v>2669</v>
      </c>
      <c r="F119" s="13648" t="s">
        <v>2670</v>
      </c>
      <c r="G119" s="13648" t="s">
        <v>28</v>
      </c>
      <c r="H119" s="13648" t="s">
        <v>28</v>
      </c>
      <c r="I119" s="13648" t="s">
        <v>1026</v>
      </c>
    </row>
    <row customHeight="1" ht="11.25">
      <c r="A120" s="13648" t="s">
        <v>2383</v>
      </c>
      <c r="B120" s="13648" t="s">
        <v>16</v>
      </c>
      <c r="C120" s="13648" t="s">
        <v>2384</v>
      </c>
      <c r="D120" s="13648" t="s">
        <v>2385</v>
      </c>
      <c r="E120" s="13648" t="s">
        <v>2386</v>
      </c>
      <c r="F120" s="13648" t="s">
        <v>2387</v>
      </c>
      <c r="G120" s="13648" t="s">
        <v>28</v>
      </c>
      <c r="H120" s="13648" t="s">
        <v>28</v>
      </c>
      <c r="I120" s="13648" t="s">
        <v>986</v>
      </c>
    </row>
    <row customHeight="1" ht="11.25">
      <c r="A121" s="13648" t="s">
        <v>2383</v>
      </c>
      <c r="B121" s="13648" t="s">
        <v>16</v>
      </c>
      <c r="C121" s="13648" t="s">
        <v>2675</v>
      </c>
      <c r="D121" s="13648" t="s">
        <v>2676</v>
      </c>
      <c r="E121" s="13648" t="s">
        <v>2677</v>
      </c>
      <c r="F121" s="13648" t="s">
        <v>2580</v>
      </c>
      <c r="G121" s="13648" t="s">
        <v>28</v>
      </c>
      <c r="H121" s="13648" t="s">
        <v>28</v>
      </c>
      <c r="I121" s="13648" t="s">
        <v>986</v>
      </c>
    </row>
    <row customHeight="1" ht="11.25">
      <c r="A122" s="13648" t="s">
        <v>2383</v>
      </c>
      <c r="B122" s="13648" t="s">
        <v>16</v>
      </c>
      <c r="C122" s="13648" t="s">
        <v>2678</v>
      </c>
      <c r="D122" s="13648" t="s">
        <v>2679</v>
      </c>
      <c r="E122" s="13648" t="s">
        <v>2680</v>
      </c>
      <c r="F122" s="13648" t="s">
        <v>2613</v>
      </c>
      <c r="G122" s="13648" t="s">
        <v>28</v>
      </c>
      <c r="H122" s="13648" t="s">
        <v>28</v>
      </c>
      <c r="I122" s="13648" t="s">
        <v>986</v>
      </c>
    </row>
    <row customHeight="1" ht="11.25">
      <c r="A123" s="13648" t="s">
        <v>2383</v>
      </c>
      <c r="B123" s="13648" t="s">
        <v>16</v>
      </c>
      <c r="C123" s="13648" t="s">
        <v>2681</v>
      </c>
      <c r="D123" s="13648" t="s">
        <v>2682</v>
      </c>
      <c r="E123" s="13648" t="s">
        <v>2683</v>
      </c>
      <c r="F123" s="13648" t="s">
        <v>2540</v>
      </c>
      <c r="G123" s="13648" t="s">
        <v>2684</v>
      </c>
      <c r="H123" s="13648" t="s">
        <v>2685</v>
      </c>
      <c r="I123" s="13648" t="s">
        <v>986</v>
      </c>
    </row>
    <row customHeight="1" ht="11.25">
      <c r="A124" s="13648" t="s">
        <v>2383</v>
      </c>
      <c r="B124" s="13648" t="s">
        <v>16</v>
      </c>
      <c r="C124" s="13648" t="s">
        <v>2686</v>
      </c>
      <c r="D124" s="13648" t="s">
        <v>2687</v>
      </c>
      <c r="E124" s="13648" t="s">
        <v>2688</v>
      </c>
      <c r="F124" s="13648" t="s">
        <v>2641</v>
      </c>
      <c r="G124" s="13648" t="s">
        <v>28</v>
      </c>
      <c r="H124" s="13648" t="s">
        <v>28</v>
      </c>
      <c r="I124" s="13648" t="s">
        <v>986</v>
      </c>
    </row>
    <row customHeight="1" ht="11.25">
      <c r="A125" s="13648" t="s">
        <v>2383</v>
      </c>
      <c r="B125" s="13648" t="s">
        <v>16</v>
      </c>
      <c r="C125" s="13648" t="s">
        <v>2689</v>
      </c>
      <c r="D125" s="13648" t="s">
        <v>2690</v>
      </c>
      <c r="E125" s="13648" t="s">
        <v>2691</v>
      </c>
      <c r="F125" s="13648" t="s">
        <v>2641</v>
      </c>
      <c r="G125" s="13648" t="s">
        <v>28</v>
      </c>
      <c r="H125" s="13648" t="s">
        <v>2692</v>
      </c>
      <c r="I125" s="13648" t="s">
        <v>986</v>
      </c>
    </row>
    <row customHeight="1" ht="11.25">
      <c r="A126" s="13648" t="s">
        <v>2383</v>
      </c>
      <c r="B126" s="13648" t="s">
        <v>16</v>
      </c>
      <c r="C126" s="13648" t="s">
        <v>2693</v>
      </c>
      <c r="D126" s="13648" t="s">
        <v>2694</v>
      </c>
      <c r="E126" s="13648" t="s">
        <v>2695</v>
      </c>
      <c r="F126" s="13648" t="s">
        <v>2696</v>
      </c>
      <c r="G126" s="13648" t="s">
        <v>28</v>
      </c>
      <c r="H126" s="13648" t="s">
        <v>28</v>
      </c>
      <c r="I126" s="13648" t="s">
        <v>986</v>
      </c>
    </row>
    <row customHeight="1" ht="11.25">
      <c r="A127" s="13648" t="s">
        <v>2383</v>
      </c>
      <c r="B127" s="13648" t="s">
        <v>16</v>
      </c>
      <c r="C127" s="13648" t="s">
        <v>2697</v>
      </c>
      <c r="D127" s="13648" t="s">
        <v>2698</v>
      </c>
      <c r="E127" s="13648" t="s">
        <v>2699</v>
      </c>
      <c r="F127" s="13648" t="s">
        <v>2641</v>
      </c>
      <c r="G127" s="13648" t="s">
        <v>28</v>
      </c>
      <c r="H127" s="13648" t="s">
        <v>2692</v>
      </c>
      <c r="I127" s="13648" t="s">
        <v>986</v>
      </c>
    </row>
    <row customHeight="1" ht="11.25">
      <c r="A128" s="13648" t="s">
        <v>2383</v>
      </c>
      <c r="B128" s="13648" t="s">
        <v>16</v>
      </c>
      <c r="C128" s="13648" t="s">
        <v>2700</v>
      </c>
      <c r="D128" s="13648" t="s">
        <v>2701</v>
      </c>
      <c r="E128" s="13648" t="s">
        <v>2702</v>
      </c>
      <c r="F128" s="13648" t="s">
        <v>2505</v>
      </c>
      <c r="G128" s="13648" t="s">
        <v>28</v>
      </c>
      <c r="H128" s="13648" t="s">
        <v>28</v>
      </c>
      <c r="I128" s="13648" t="s">
        <v>986</v>
      </c>
    </row>
    <row customHeight="1" ht="11.25">
      <c r="A129" s="13648" t="s">
        <v>2383</v>
      </c>
      <c r="B129" s="13648" t="s">
        <v>16</v>
      </c>
      <c r="C129" s="13648" t="s">
        <v>2703</v>
      </c>
      <c r="D129" s="13648" t="s">
        <v>2704</v>
      </c>
      <c r="E129" s="13648" t="s">
        <v>2705</v>
      </c>
      <c r="F129" s="13648" t="s">
        <v>2706</v>
      </c>
      <c r="G129" s="13648" t="s">
        <v>28</v>
      </c>
      <c r="H129" s="13648" t="s">
        <v>28</v>
      </c>
      <c r="I129" s="13648" t="s">
        <v>986</v>
      </c>
    </row>
    <row customHeight="1" ht="11.25">
      <c r="A130" s="13648" t="s">
        <v>2383</v>
      </c>
      <c r="B130" s="13648" t="s">
        <v>16</v>
      </c>
      <c r="C130" s="13648" t="s">
        <v>2707</v>
      </c>
      <c r="D130" s="13648" t="s">
        <v>2708</v>
      </c>
      <c r="E130" s="13648" t="s">
        <v>2709</v>
      </c>
      <c r="F130" s="13648" t="s">
        <v>2424</v>
      </c>
      <c r="G130" s="13648" t="s">
        <v>2710</v>
      </c>
      <c r="H130" s="13648" t="s">
        <v>28</v>
      </c>
      <c r="I130" s="13648" t="s">
        <v>986</v>
      </c>
    </row>
    <row customHeight="1" ht="11.25">
      <c r="A131" s="13648" t="s">
        <v>2383</v>
      </c>
      <c r="B131" s="13648" t="s">
        <v>16</v>
      </c>
      <c r="C131" s="13648" t="s">
        <v>2711</v>
      </c>
      <c r="D131" s="13648" t="s">
        <v>2712</v>
      </c>
      <c r="E131" s="13648" t="s">
        <v>2713</v>
      </c>
      <c r="F131" s="13648" t="s">
        <v>2641</v>
      </c>
      <c r="G131" s="13648" t="s">
        <v>28</v>
      </c>
      <c r="H131" s="13648" t="s">
        <v>2692</v>
      </c>
      <c r="I131" s="13648" t="s">
        <v>986</v>
      </c>
    </row>
    <row customHeight="1" ht="11.25">
      <c r="A132" s="13648" t="s">
        <v>2383</v>
      </c>
      <c r="B132" s="13648" t="s">
        <v>16</v>
      </c>
      <c r="C132" s="13648" t="s">
        <v>2714</v>
      </c>
      <c r="D132" s="13648" t="s">
        <v>2715</v>
      </c>
      <c r="E132" s="13648" t="s">
        <v>2716</v>
      </c>
      <c r="F132" s="13648" t="s">
        <v>2576</v>
      </c>
      <c r="G132" s="13648" t="s">
        <v>28</v>
      </c>
      <c r="H132" s="13648" t="s">
        <v>2717</v>
      </c>
      <c r="I132" s="13648" t="s">
        <v>986</v>
      </c>
    </row>
    <row customHeight="1" ht="11.25">
      <c r="A133" s="13648" t="s">
        <v>2383</v>
      </c>
      <c r="B133" s="13648" t="s">
        <v>16</v>
      </c>
      <c r="C133" s="13648" t="s">
        <v>2718</v>
      </c>
      <c r="D133" s="13648" t="s">
        <v>2719</v>
      </c>
      <c r="E133" s="13648" t="s">
        <v>2720</v>
      </c>
      <c r="F133" s="13648" t="s">
        <v>2395</v>
      </c>
      <c r="G133" s="13648" t="s">
        <v>2721</v>
      </c>
      <c r="H133" s="13648" t="s">
        <v>28</v>
      </c>
      <c r="I133" s="13648" t="s">
        <v>986</v>
      </c>
    </row>
    <row customHeight="1" ht="11.25">
      <c r="A134" s="13648" t="s">
        <v>2383</v>
      </c>
      <c r="B134" s="13648" t="s">
        <v>16</v>
      </c>
      <c r="C134" s="13648" t="s">
        <v>2401</v>
      </c>
      <c r="D134" s="13648" t="s">
        <v>2402</v>
      </c>
      <c r="E134" s="13648" t="s">
        <v>2399</v>
      </c>
      <c r="F134" s="13648" t="s">
        <v>2403</v>
      </c>
      <c r="G134" s="13648" t="s">
        <v>28</v>
      </c>
      <c r="H134" s="13648" t="s">
        <v>28</v>
      </c>
      <c r="I134" s="13648" t="s">
        <v>986</v>
      </c>
    </row>
    <row customHeight="1" ht="11.25">
      <c r="A135" s="13648" t="s">
        <v>2383</v>
      </c>
      <c r="B135" s="13648" t="s">
        <v>16</v>
      </c>
      <c r="C135" s="13648" t="s">
        <v>2404</v>
      </c>
      <c r="D135" s="13648" t="s">
        <v>2405</v>
      </c>
      <c r="E135" s="13648" t="s">
        <v>2406</v>
      </c>
      <c r="F135" s="13648" t="s">
        <v>2407</v>
      </c>
      <c r="G135" s="13648" t="s">
        <v>28</v>
      </c>
      <c r="H135" s="13648" t="s">
        <v>28</v>
      </c>
      <c r="I135" s="13648" t="s">
        <v>986</v>
      </c>
    </row>
    <row customHeight="1" ht="11.25">
      <c r="A136" s="13648" t="s">
        <v>2383</v>
      </c>
      <c r="B136" s="13648" t="s">
        <v>16</v>
      </c>
      <c r="C136" s="13648" t="s">
        <v>2408</v>
      </c>
      <c r="D136" s="13648" t="s">
        <v>2409</v>
      </c>
      <c r="E136" s="13648" t="s">
        <v>2410</v>
      </c>
      <c r="F136" s="13648" t="s">
        <v>2395</v>
      </c>
      <c r="G136" s="13648" t="s">
        <v>2411</v>
      </c>
      <c r="H136" s="13648" t="s">
        <v>28</v>
      </c>
      <c r="I136" s="13648" t="s">
        <v>986</v>
      </c>
    </row>
    <row customHeight="1" ht="11.25">
      <c r="A137" s="13648" t="s">
        <v>2383</v>
      </c>
      <c r="B137" s="13648" t="s">
        <v>16</v>
      </c>
      <c r="C137" s="13648" t="s">
        <v>2722</v>
      </c>
      <c r="D137" s="13648" t="s">
        <v>2723</v>
      </c>
      <c r="E137" s="13648" t="s">
        <v>2724</v>
      </c>
      <c r="F137" s="13648" t="s">
        <v>2395</v>
      </c>
      <c r="G137" s="13648" t="s">
        <v>28</v>
      </c>
      <c r="H137" s="13648" t="s">
        <v>28</v>
      </c>
      <c r="I137" s="13648" t="s">
        <v>986</v>
      </c>
    </row>
    <row customHeight="1" ht="11.25">
      <c r="A138" s="13648" t="s">
        <v>2383</v>
      </c>
      <c r="B138" s="13648" t="s">
        <v>16</v>
      </c>
      <c r="C138" s="13648" t="s">
        <v>2412</v>
      </c>
      <c r="D138" s="13648" t="s">
        <v>2413</v>
      </c>
      <c r="E138" s="13648" t="s">
        <v>2414</v>
      </c>
      <c r="F138" s="13648" t="s">
        <v>2415</v>
      </c>
      <c r="G138" s="13648" t="s">
        <v>2416</v>
      </c>
      <c r="H138" s="13648" t="s">
        <v>28</v>
      </c>
      <c r="I138" s="13648" t="s">
        <v>986</v>
      </c>
    </row>
    <row customHeight="1" ht="11.25">
      <c r="A139" s="13648" t="s">
        <v>2383</v>
      </c>
      <c r="B139" s="13648" t="s">
        <v>16</v>
      </c>
      <c r="C139" s="13648" t="s">
        <v>2421</v>
      </c>
      <c r="D139" s="13648" t="s">
        <v>2422</v>
      </c>
      <c r="E139" s="13648" t="s">
        <v>2423</v>
      </c>
      <c r="F139" s="13648" t="s">
        <v>2424</v>
      </c>
      <c r="G139" s="13648" t="s">
        <v>28</v>
      </c>
      <c r="H139" s="13648" t="s">
        <v>28</v>
      </c>
      <c r="I139" s="13648" t="s">
        <v>986</v>
      </c>
    </row>
    <row customHeight="1" ht="11.25">
      <c r="A140" s="13648" t="s">
        <v>2383</v>
      </c>
      <c r="B140" s="13648" t="s">
        <v>16</v>
      </c>
      <c r="C140" s="13648" t="s">
        <v>2725</v>
      </c>
      <c r="D140" s="13648" t="s">
        <v>2726</v>
      </c>
      <c r="E140" s="13648" t="s">
        <v>2727</v>
      </c>
      <c r="F140" s="13648" t="s">
        <v>2505</v>
      </c>
      <c r="G140" s="13648" t="s">
        <v>28</v>
      </c>
      <c r="H140" s="13648" t="s">
        <v>28</v>
      </c>
      <c r="I140" s="13648" t="s">
        <v>986</v>
      </c>
    </row>
    <row customHeight="1" ht="11.25">
      <c r="A141" s="13648" t="s">
        <v>2383</v>
      </c>
      <c r="B141" s="13648" t="s">
        <v>16</v>
      </c>
      <c r="C141" s="13648" t="s">
        <v>2425</v>
      </c>
      <c r="D141" s="13648" t="s">
        <v>2426</v>
      </c>
      <c r="E141" s="13648" t="s">
        <v>2427</v>
      </c>
      <c r="F141" s="13648" t="s">
        <v>2395</v>
      </c>
      <c r="G141" s="13648" t="s">
        <v>28</v>
      </c>
      <c r="H141" s="13648" t="s">
        <v>28</v>
      </c>
      <c r="I141" s="13648" t="s">
        <v>986</v>
      </c>
    </row>
    <row customHeight="1" ht="11.25">
      <c r="A142" s="13648" t="s">
        <v>2383</v>
      </c>
      <c r="B142" s="13648" t="s">
        <v>16</v>
      </c>
      <c r="C142" s="13648" t="s">
        <v>2428</v>
      </c>
      <c r="D142" s="13648" t="s">
        <v>2429</v>
      </c>
      <c r="E142" s="13648" t="s">
        <v>2430</v>
      </c>
      <c r="F142" s="13648" t="s">
        <v>2395</v>
      </c>
      <c r="G142" s="13648" t="s">
        <v>28</v>
      </c>
      <c r="H142" s="13648" t="s">
        <v>28</v>
      </c>
      <c r="I142" s="13648" t="s">
        <v>986</v>
      </c>
    </row>
    <row customHeight="1" ht="11.25">
      <c r="A143" s="13648" t="s">
        <v>2383</v>
      </c>
      <c r="B143" s="13648" t="s">
        <v>16</v>
      </c>
      <c r="C143" s="13648" t="s">
        <v>2728</v>
      </c>
      <c r="D143" s="13648" t="s">
        <v>2729</v>
      </c>
      <c r="E143" s="13648" t="s">
        <v>2730</v>
      </c>
      <c r="F143" s="13648" t="s">
        <v>2478</v>
      </c>
      <c r="G143" s="13648" t="s">
        <v>28</v>
      </c>
      <c r="H143" s="13648" t="s">
        <v>28</v>
      </c>
      <c r="I143" s="13648" t="s">
        <v>986</v>
      </c>
    </row>
    <row customHeight="1" ht="11.25">
      <c r="A144" s="13648" t="s">
        <v>2383</v>
      </c>
      <c r="B144" s="13648" t="s">
        <v>16</v>
      </c>
      <c r="C144" s="13648" t="s">
        <v>2731</v>
      </c>
      <c r="D144" s="13648" t="s">
        <v>2732</v>
      </c>
      <c r="E144" s="13648" t="s">
        <v>2733</v>
      </c>
      <c r="F144" s="13648" t="s">
        <v>2645</v>
      </c>
      <c r="G144" s="13648" t="s">
        <v>28</v>
      </c>
      <c r="H144" s="13648" t="s">
        <v>28</v>
      </c>
      <c r="I144" s="13648" t="s">
        <v>986</v>
      </c>
    </row>
    <row customHeight="1" ht="11.25">
      <c r="A145" s="13648" t="s">
        <v>2383</v>
      </c>
      <c r="B145" s="13648" t="s">
        <v>16</v>
      </c>
      <c r="C145" s="13648" t="s">
        <v>2734</v>
      </c>
      <c r="D145" s="13648" t="s">
        <v>2735</v>
      </c>
      <c r="E145" s="13648" t="s">
        <v>2736</v>
      </c>
      <c r="F145" s="13648" t="s">
        <v>2596</v>
      </c>
      <c r="G145" s="13648" t="s">
        <v>28</v>
      </c>
      <c r="H145" s="13648" t="s">
        <v>28</v>
      </c>
      <c r="I145" s="13648" t="s">
        <v>986</v>
      </c>
    </row>
    <row customHeight="1" ht="11.25">
      <c r="A146" s="13648" t="s">
        <v>2383</v>
      </c>
      <c r="B146" s="13648" t="s">
        <v>16</v>
      </c>
      <c r="C146" s="13648" t="s">
        <v>2737</v>
      </c>
      <c r="D146" s="13648" t="s">
        <v>2738</v>
      </c>
      <c r="E146" s="13648" t="s">
        <v>2739</v>
      </c>
      <c r="F146" s="13648" t="s">
        <v>2387</v>
      </c>
      <c r="G146" s="13648" t="s">
        <v>28</v>
      </c>
      <c r="H146" s="13648" t="s">
        <v>28</v>
      </c>
      <c r="I146" s="13648" t="s">
        <v>986</v>
      </c>
    </row>
    <row customHeight="1" ht="11.25">
      <c r="A147" s="13648" t="s">
        <v>2383</v>
      </c>
      <c r="B147" s="13648" t="s">
        <v>16</v>
      </c>
      <c r="C147" s="13648" t="s">
        <v>2740</v>
      </c>
      <c r="D147" s="13648" t="s">
        <v>2741</v>
      </c>
      <c r="E147" s="13648" t="s">
        <v>2742</v>
      </c>
      <c r="F147" s="13648" t="s">
        <v>2387</v>
      </c>
      <c r="G147" s="13648" t="s">
        <v>28</v>
      </c>
      <c r="H147" s="13648" t="s">
        <v>28</v>
      </c>
      <c r="I147" s="13648" t="s">
        <v>986</v>
      </c>
    </row>
    <row customHeight="1" ht="11.25">
      <c r="A148" s="13648" t="s">
        <v>2383</v>
      </c>
      <c r="B148" s="13648" t="s">
        <v>16</v>
      </c>
      <c r="C148" s="13648" t="s">
        <v>2743</v>
      </c>
      <c r="D148" s="13648" t="s">
        <v>2744</v>
      </c>
      <c r="E148" s="13648" t="s">
        <v>2745</v>
      </c>
      <c r="F148" s="13648" t="s">
        <v>2387</v>
      </c>
      <c r="G148" s="13648" t="s">
        <v>28</v>
      </c>
      <c r="H148" s="13648" t="s">
        <v>28</v>
      </c>
      <c r="I148" s="13648" t="s">
        <v>986</v>
      </c>
    </row>
    <row customHeight="1" ht="11.25">
      <c r="A149" s="13648" t="s">
        <v>2383</v>
      </c>
      <c r="B149" s="13648" t="s">
        <v>16</v>
      </c>
      <c r="C149" s="13648" t="s">
        <v>2746</v>
      </c>
      <c r="D149" s="13648" t="s">
        <v>2747</v>
      </c>
      <c r="E149" s="13648" t="s">
        <v>2748</v>
      </c>
      <c r="F149" s="13648" t="s">
        <v>2540</v>
      </c>
      <c r="G149" s="13648" t="s">
        <v>28</v>
      </c>
      <c r="H149" s="13648" t="s">
        <v>28</v>
      </c>
      <c r="I149" s="13648" t="s">
        <v>986</v>
      </c>
    </row>
    <row customHeight="1" ht="11.25">
      <c r="A150" s="13648" t="s">
        <v>2383</v>
      </c>
      <c r="B150" s="13648" t="s">
        <v>16</v>
      </c>
      <c r="C150" s="13648" t="s">
        <v>2749</v>
      </c>
      <c r="D150" s="13648" t="s">
        <v>2750</v>
      </c>
      <c r="E150" s="13648" t="s">
        <v>2751</v>
      </c>
      <c r="F150" s="13648" t="s">
        <v>2387</v>
      </c>
      <c r="G150" s="13648" t="s">
        <v>28</v>
      </c>
      <c r="H150" s="13648" t="s">
        <v>28</v>
      </c>
      <c r="I150" s="13648" t="s">
        <v>986</v>
      </c>
    </row>
    <row customHeight="1" ht="11.25">
      <c r="A151" s="13648" t="s">
        <v>2383</v>
      </c>
      <c r="B151" s="13648" t="s">
        <v>16</v>
      </c>
      <c r="C151" s="13648" t="s">
        <v>2752</v>
      </c>
      <c r="D151" s="13648" t="s">
        <v>2753</v>
      </c>
      <c r="E151" s="13648" t="s">
        <v>2754</v>
      </c>
      <c r="F151" s="13648" t="s">
        <v>2505</v>
      </c>
      <c r="G151" s="13648" t="s">
        <v>2684</v>
      </c>
      <c r="H151" s="13648" t="s">
        <v>28</v>
      </c>
      <c r="I151" s="13648" t="s">
        <v>986</v>
      </c>
    </row>
    <row customHeight="1" ht="11.25">
      <c r="A152" s="13648" t="s">
        <v>2383</v>
      </c>
      <c r="B152" s="13648" t="s">
        <v>16</v>
      </c>
      <c r="C152" s="13648" t="s">
        <v>2755</v>
      </c>
      <c r="D152" s="13648" t="s">
        <v>2756</v>
      </c>
      <c r="E152" s="13648" t="s">
        <v>2757</v>
      </c>
      <c r="F152" s="13648" t="s">
        <v>2387</v>
      </c>
      <c r="G152" s="13648" t="s">
        <v>28</v>
      </c>
      <c r="H152" s="13648" t="s">
        <v>28</v>
      </c>
      <c r="I152" s="13648" t="s">
        <v>986</v>
      </c>
    </row>
    <row customHeight="1" ht="11.25">
      <c r="A153" s="13648" t="s">
        <v>2383</v>
      </c>
      <c r="B153" s="13648" t="s">
        <v>16</v>
      </c>
      <c r="C153" s="13648" t="s">
        <v>2758</v>
      </c>
      <c r="D153" s="13648" t="s">
        <v>2759</v>
      </c>
      <c r="E153" s="13648" t="s">
        <v>2760</v>
      </c>
      <c r="F153" s="13648" t="s">
        <v>2761</v>
      </c>
      <c r="G153" s="13648" t="s">
        <v>28</v>
      </c>
      <c r="H153" s="13648" t="s">
        <v>28</v>
      </c>
      <c r="I153" s="13648" t="s">
        <v>986</v>
      </c>
    </row>
    <row customHeight="1" ht="11.25">
      <c r="A154" s="13648" t="s">
        <v>2383</v>
      </c>
      <c r="B154" s="13648" t="s">
        <v>16</v>
      </c>
      <c r="C154" s="13648" t="s">
        <v>2762</v>
      </c>
      <c r="D154" s="13648" t="s">
        <v>2763</v>
      </c>
      <c r="E154" s="13648" t="s">
        <v>2764</v>
      </c>
      <c r="F154" s="13648" t="s">
        <v>2509</v>
      </c>
      <c r="G154" s="13648" t="s">
        <v>28</v>
      </c>
      <c r="H154" s="13648" t="s">
        <v>28</v>
      </c>
      <c r="I154" s="13648" t="s">
        <v>986</v>
      </c>
    </row>
    <row customHeight="1" ht="11.25">
      <c r="A155" s="13648" t="s">
        <v>2383</v>
      </c>
      <c r="B155" s="13648" t="s">
        <v>16</v>
      </c>
      <c r="C155" s="13648" t="s">
        <v>2765</v>
      </c>
      <c r="D155" s="13648" t="s">
        <v>2766</v>
      </c>
      <c r="E155" s="13648" t="s">
        <v>2767</v>
      </c>
      <c r="F155" s="13648" t="s">
        <v>2505</v>
      </c>
      <c r="G155" s="13648" t="s">
        <v>2768</v>
      </c>
      <c r="H155" s="13648" t="s">
        <v>28</v>
      </c>
      <c r="I155" s="13648" t="s">
        <v>986</v>
      </c>
    </row>
    <row customHeight="1" ht="11.25">
      <c r="A156" s="13648" t="s">
        <v>2383</v>
      </c>
      <c r="B156" s="13648" t="s">
        <v>16</v>
      </c>
      <c r="C156" s="13648" t="s">
        <v>2769</v>
      </c>
      <c r="D156" s="13648" t="s">
        <v>2770</v>
      </c>
      <c r="E156" s="13648" t="s">
        <v>2771</v>
      </c>
      <c r="F156" s="13648" t="s">
        <v>2387</v>
      </c>
      <c r="G156" s="13648" t="s">
        <v>28</v>
      </c>
      <c r="H156" s="13648" t="s">
        <v>28</v>
      </c>
      <c r="I156" s="13648" t="s">
        <v>986</v>
      </c>
    </row>
    <row customHeight="1" ht="11.25">
      <c r="A157" s="13648" t="s">
        <v>2383</v>
      </c>
      <c r="B157" s="13648" t="s">
        <v>16</v>
      </c>
      <c r="C157" s="13648" t="s">
        <v>2772</v>
      </c>
      <c r="D157" s="13648" t="s">
        <v>2773</v>
      </c>
      <c r="E157" s="13648" t="s">
        <v>2774</v>
      </c>
      <c r="F157" s="13648" t="s">
        <v>2613</v>
      </c>
      <c r="G157" s="13648" t="s">
        <v>28</v>
      </c>
      <c r="H157" s="13648" t="s">
        <v>28</v>
      </c>
      <c r="I157" s="13648" t="s">
        <v>986</v>
      </c>
    </row>
    <row customHeight="1" ht="11.25">
      <c r="A158" s="13648" t="s">
        <v>2383</v>
      </c>
      <c r="B158" s="13648" t="s">
        <v>16</v>
      </c>
      <c r="C158" s="13648" t="s">
        <v>2775</v>
      </c>
      <c r="D158" s="13648" t="s">
        <v>2776</v>
      </c>
      <c r="E158" s="13648" t="s">
        <v>2777</v>
      </c>
      <c r="F158" s="13648" t="s">
        <v>2641</v>
      </c>
      <c r="G158" s="13648" t="s">
        <v>2778</v>
      </c>
      <c r="H158" s="13648" t="s">
        <v>28</v>
      </c>
      <c r="I158" s="13648" t="s">
        <v>986</v>
      </c>
    </row>
    <row customHeight="1" ht="11.25">
      <c r="A159" s="13648" t="s">
        <v>2383</v>
      </c>
      <c r="B159" s="13648" t="s">
        <v>16</v>
      </c>
      <c r="C159" s="13648" t="s">
        <v>2435</v>
      </c>
      <c r="D159" s="13648" t="s">
        <v>2436</v>
      </c>
      <c r="E159" s="13648" t="s">
        <v>2437</v>
      </c>
      <c r="F159" s="13648" t="s">
        <v>2438</v>
      </c>
      <c r="G159" s="13648" t="s">
        <v>28</v>
      </c>
      <c r="H159" s="13648" t="s">
        <v>28</v>
      </c>
      <c r="I159" s="13648" t="s">
        <v>986</v>
      </c>
    </row>
    <row customHeight="1" ht="11.25">
      <c r="A160" s="13648" t="s">
        <v>2383</v>
      </c>
      <c r="B160" s="13648" t="s">
        <v>16</v>
      </c>
      <c r="C160" s="13648" t="s">
        <v>2439</v>
      </c>
      <c r="D160" s="13648" t="s">
        <v>2440</v>
      </c>
      <c r="E160" s="13648" t="s">
        <v>2437</v>
      </c>
      <c r="F160" s="13648" t="s">
        <v>2441</v>
      </c>
      <c r="G160" s="13648" t="s">
        <v>28</v>
      </c>
      <c r="H160" s="13648" t="s">
        <v>28</v>
      </c>
      <c r="I160" s="13648" t="s">
        <v>986</v>
      </c>
    </row>
    <row customHeight="1" ht="11.25">
      <c r="A161" s="13648" t="s">
        <v>2383</v>
      </c>
      <c r="B161" s="13648" t="s">
        <v>16</v>
      </c>
      <c r="C161" s="13648" t="s">
        <v>2445</v>
      </c>
      <c r="D161" s="13648" t="s">
        <v>2446</v>
      </c>
      <c r="E161" s="13648" t="s">
        <v>2447</v>
      </c>
      <c r="F161" s="13648" t="s">
        <v>708</v>
      </c>
      <c r="G161" s="13648" t="s">
        <v>28</v>
      </c>
      <c r="H161" s="13648" t="s">
        <v>28</v>
      </c>
      <c r="I161" s="13648" t="s">
        <v>986</v>
      </c>
    </row>
    <row customHeight="1" ht="11.25">
      <c r="A162" s="13648" t="s">
        <v>2383</v>
      </c>
      <c r="B162" s="13648" t="s">
        <v>16</v>
      </c>
      <c r="C162" s="13648" t="s">
        <v>28</v>
      </c>
      <c r="D162" s="13648" t="s">
        <v>2448</v>
      </c>
      <c r="E162" s="13648" t="s">
        <v>2449</v>
      </c>
      <c r="F162" s="13648" t="s">
        <v>2395</v>
      </c>
      <c r="G162" s="13648" t="s">
        <v>28</v>
      </c>
      <c r="H162" s="13648" t="s">
        <v>28</v>
      </c>
      <c r="I162" s="13648" t="s">
        <v>986</v>
      </c>
    </row>
    <row customHeight="1" ht="11.25">
      <c r="A163" s="13648" t="s">
        <v>2383</v>
      </c>
      <c r="B163" s="13648" t="s">
        <v>16</v>
      </c>
      <c r="C163" s="13648" t="s">
        <v>2779</v>
      </c>
      <c r="D163" s="13648" t="s">
        <v>2780</v>
      </c>
      <c r="E163" s="13648" t="s">
        <v>2781</v>
      </c>
      <c r="F163" s="13648" t="s">
        <v>2580</v>
      </c>
      <c r="G163" s="13648" t="s">
        <v>2684</v>
      </c>
      <c r="H163" s="13648" t="s">
        <v>28</v>
      </c>
      <c r="I163" s="13648" t="s">
        <v>986</v>
      </c>
    </row>
    <row customHeight="1" ht="11.25">
      <c r="A164" s="13648" t="s">
        <v>2383</v>
      </c>
      <c r="B164" s="13648" t="s">
        <v>16</v>
      </c>
      <c r="C164" s="13648" t="s">
        <v>2782</v>
      </c>
      <c r="D164" s="13648" t="s">
        <v>2783</v>
      </c>
      <c r="E164" s="13648" t="s">
        <v>2784</v>
      </c>
      <c r="F164" s="13648" t="s">
        <v>2580</v>
      </c>
      <c r="G164" s="13648" t="s">
        <v>28</v>
      </c>
      <c r="H164" s="13648" t="s">
        <v>28</v>
      </c>
      <c r="I164" s="13648" t="s">
        <v>986</v>
      </c>
    </row>
    <row customHeight="1" ht="11.25">
      <c r="A165" s="13648" t="s">
        <v>2383</v>
      </c>
      <c r="B165" s="13648" t="s">
        <v>16</v>
      </c>
      <c r="C165" s="13648" t="s">
        <v>2785</v>
      </c>
      <c r="D165" s="13648" t="s">
        <v>2786</v>
      </c>
      <c r="E165" s="13648" t="s">
        <v>2787</v>
      </c>
      <c r="F165" s="13648" t="s">
        <v>2788</v>
      </c>
      <c r="G165" s="13648" t="s">
        <v>28</v>
      </c>
      <c r="H165" s="13648" t="s">
        <v>28</v>
      </c>
      <c r="I165" s="13648" t="s">
        <v>986</v>
      </c>
    </row>
    <row customHeight="1" ht="11.25">
      <c r="A166" s="13648" t="s">
        <v>2383</v>
      </c>
      <c r="B166" s="13648" t="s">
        <v>16</v>
      </c>
      <c r="C166" s="13648" t="s">
        <v>2789</v>
      </c>
      <c r="D166" s="13648" t="s">
        <v>2790</v>
      </c>
      <c r="E166" s="13648" t="s">
        <v>2791</v>
      </c>
      <c r="F166" s="13648" t="s">
        <v>2706</v>
      </c>
      <c r="G166" s="13648" t="s">
        <v>28</v>
      </c>
      <c r="H166" s="13648" t="s">
        <v>28</v>
      </c>
      <c r="I166" s="13648" t="s">
        <v>986</v>
      </c>
    </row>
    <row customHeight="1" ht="11.25">
      <c r="A167" s="13648" t="s">
        <v>2383</v>
      </c>
      <c r="B167" s="13648" t="s">
        <v>16</v>
      </c>
      <c r="C167" s="13648" t="s">
        <v>2792</v>
      </c>
      <c r="D167" s="13648" t="s">
        <v>2793</v>
      </c>
      <c r="E167" s="13648" t="s">
        <v>2794</v>
      </c>
      <c r="F167" s="13648" t="s">
        <v>2457</v>
      </c>
      <c r="G167" s="13648" t="s">
        <v>2795</v>
      </c>
      <c r="H167" s="13648" t="s">
        <v>28</v>
      </c>
      <c r="I167" s="13648" t="s">
        <v>986</v>
      </c>
    </row>
    <row customHeight="1" ht="11.25">
      <c r="A168" s="13648" t="s">
        <v>2383</v>
      </c>
      <c r="B168" s="13648" t="s">
        <v>16</v>
      </c>
      <c r="C168" s="13648" t="s">
        <v>2796</v>
      </c>
      <c r="D168" s="13648" t="s">
        <v>2797</v>
      </c>
      <c r="E168" s="13648" t="s">
        <v>2798</v>
      </c>
      <c r="F168" s="13648" t="s">
        <v>2761</v>
      </c>
      <c r="G168" s="13648" t="s">
        <v>2799</v>
      </c>
      <c r="H168" s="13648" t="s">
        <v>28</v>
      </c>
      <c r="I168" s="13648" t="s">
        <v>986</v>
      </c>
    </row>
    <row customHeight="1" ht="11.25">
      <c r="A169" s="13648" t="s">
        <v>2383</v>
      </c>
      <c r="B169" s="13648" t="s">
        <v>16</v>
      </c>
      <c r="C169" s="13648" t="s">
        <v>2800</v>
      </c>
      <c r="D169" s="13648" t="s">
        <v>2801</v>
      </c>
      <c r="E169" s="13648" t="s">
        <v>2802</v>
      </c>
      <c r="F169" s="13648" t="s">
        <v>2424</v>
      </c>
      <c r="G169" s="13648" t="s">
        <v>28</v>
      </c>
      <c r="H169" s="13648" t="s">
        <v>28</v>
      </c>
      <c r="I169" s="13648" t="s">
        <v>986</v>
      </c>
    </row>
    <row customHeight="1" ht="11.25">
      <c r="A170" s="13648" t="s">
        <v>2383</v>
      </c>
      <c r="B170" s="13648" t="s">
        <v>16</v>
      </c>
      <c r="C170" s="13648" t="s">
        <v>2803</v>
      </c>
      <c r="D170" s="13648" t="s">
        <v>2804</v>
      </c>
      <c r="E170" s="13648" t="s">
        <v>2805</v>
      </c>
      <c r="F170" s="13648" t="s">
        <v>2580</v>
      </c>
      <c r="G170" s="13648" t="s">
        <v>28</v>
      </c>
      <c r="H170" s="13648" t="s">
        <v>28</v>
      </c>
      <c r="I170" s="13648" t="s">
        <v>986</v>
      </c>
    </row>
    <row customHeight="1" ht="11.25">
      <c r="A171" s="13648" t="s">
        <v>2383</v>
      </c>
      <c r="B171" s="13648" t="s">
        <v>16</v>
      </c>
      <c r="C171" s="13648" t="s">
        <v>2806</v>
      </c>
      <c r="D171" s="13648" t="s">
        <v>2807</v>
      </c>
      <c r="E171" s="13648" t="s">
        <v>2808</v>
      </c>
      <c r="F171" s="13648" t="s">
        <v>2580</v>
      </c>
      <c r="G171" s="13648" t="s">
        <v>28</v>
      </c>
      <c r="H171" s="13648" t="s">
        <v>28</v>
      </c>
      <c r="I171" s="13648" t="s">
        <v>986</v>
      </c>
    </row>
    <row customHeight="1" ht="11.25">
      <c r="A172" s="13648" t="s">
        <v>2383</v>
      </c>
      <c r="B172" s="13648" t="s">
        <v>16</v>
      </c>
      <c r="C172" s="13648" t="s">
        <v>2809</v>
      </c>
      <c r="D172" s="13648" t="s">
        <v>2810</v>
      </c>
      <c r="E172" s="13648" t="s">
        <v>2811</v>
      </c>
      <c r="F172" s="13648" t="s">
        <v>2505</v>
      </c>
      <c r="G172" s="13648" t="s">
        <v>28</v>
      </c>
      <c r="H172" s="13648" t="s">
        <v>28</v>
      </c>
      <c r="I172" s="13648" t="s">
        <v>986</v>
      </c>
    </row>
    <row customHeight="1" ht="11.25">
      <c r="A173" s="13648" t="s">
        <v>2383</v>
      </c>
      <c r="B173" s="13648" t="s">
        <v>16</v>
      </c>
      <c r="C173" s="13648" t="s">
        <v>2812</v>
      </c>
      <c r="D173" s="13648" t="s">
        <v>2813</v>
      </c>
      <c r="E173" s="13648" t="s">
        <v>2814</v>
      </c>
      <c r="F173" s="13648" t="s">
        <v>2815</v>
      </c>
      <c r="G173" s="13648" t="s">
        <v>28</v>
      </c>
      <c r="H173" s="13648" t="s">
        <v>28</v>
      </c>
      <c r="I173" s="13648" t="s">
        <v>986</v>
      </c>
    </row>
    <row customHeight="1" ht="11.25">
      <c r="A174" s="13648" t="s">
        <v>2383</v>
      </c>
      <c r="B174" s="13648" t="s">
        <v>16</v>
      </c>
      <c r="C174" s="13648" t="s">
        <v>2464</v>
      </c>
      <c r="D174" s="13648" t="s">
        <v>2465</v>
      </c>
      <c r="E174" s="13648" t="s">
        <v>2466</v>
      </c>
      <c r="F174" s="13648" t="s">
        <v>2387</v>
      </c>
      <c r="G174" s="13648" t="s">
        <v>2467</v>
      </c>
      <c r="H174" s="13648" t="s">
        <v>28</v>
      </c>
      <c r="I174" s="13648" t="s">
        <v>986</v>
      </c>
    </row>
    <row customHeight="1" ht="11.25">
      <c r="A175" s="13648" t="s">
        <v>2383</v>
      </c>
      <c r="B175" s="13648" t="s">
        <v>16</v>
      </c>
      <c r="C175" s="13648" t="s">
        <v>2816</v>
      </c>
      <c r="D175" s="13648" t="s">
        <v>2817</v>
      </c>
      <c r="E175" s="13648" t="s">
        <v>2818</v>
      </c>
      <c r="F175" s="13648" t="s">
        <v>2478</v>
      </c>
      <c r="G175" s="13648" t="s">
        <v>28</v>
      </c>
      <c r="H175" s="13648" t="s">
        <v>28</v>
      </c>
      <c r="I175" s="13648" t="s">
        <v>986</v>
      </c>
    </row>
    <row customHeight="1" ht="11.25">
      <c r="A176" s="13648" t="s">
        <v>2383</v>
      </c>
      <c r="B176" s="13648" t="s">
        <v>16</v>
      </c>
      <c r="C176" s="13648" t="s">
        <v>2468</v>
      </c>
      <c r="D176" s="13648" t="s">
        <v>2469</v>
      </c>
      <c r="E176" s="13648" t="s">
        <v>2470</v>
      </c>
      <c r="F176" s="13648" t="s">
        <v>2471</v>
      </c>
      <c r="G176" s="13648" t="s">
        <v>28</v>
      </c>
      <c r="H176" s="13648" t="s">
        <v>28</v>
      </c>
      <c r="I176" s="13648" t="s">
        <v>986</v>
      </c>
    </row>
    <row customHeight="1" ht="11.25">
      <c r="A177" s="13648" t="s">
        <v>2383</v>
      </c>
      <c r="B177" s="13648" t="s">
        <v>16</v>
      </c>
      <c r="C177" s="13648" t="s">
        <v>2472</v>
      </c>
      <c r="D177" s="13648" t="s">
        <v>2473</v>
      </c>
      <c r="E177" s="13648" t="s">
        <v>2474</v>
      </c>
      <c r="F177" s="13648" t="s">
        <v>2395</v>
      </c>
      <c r="G177" s="13648" t="s">
        <v>28</v>
      </c>
      <c r="H177" s="13648" t="s">
        <v>28</v>
      </c>
      <c r="I177" s="13648" t="s">
        <v>986</v>
      </c>
    </row>
    <row customHeight="1" ht="11.25">
      <c r="A178" s="13648" t="s">
        <v>2383</v>
      </c>
      <c r="B178" s="13648" t="s">
        <v>16</v>
      </c>
      <c r="C178" s="13648" t="s">
        <v>2819</v>
      </c>
      <c r="D178" s="13648" t="s">
        <v>2820</v>
      </c>
      <c r="E178" s="13648" t="s">
        <v>2821</v>
      </c>
      <c r="F178" s="13648" t="s">
        <v>2471</v>
      </c>
      <c r="G178" s="13648" t="s">
        <v>28</v>
      </c>
      <c r="H178" s="13648" t="s">
        <v>2822</v>
      </c>
      <c r="I178" s="13648" t="s">
        <v>986</v>
      </c>
    </row>
    <row customHeight="1" ht="11.25">
      <c r="A179" s="13648" t="s">
        <v>2383</v>
      </c>
      <c r="B179" s="13648" t="s">
        <v>16</v>
      </c>
      <c r="C179" s="13648" t="s">
        <v>2823</v>
      </c>
      <c r="D179" s="13648" t="s">
        <v>2824</v>
      </c>
      <c r="E179" s="13648" t="s">
        <v>2825</v>
      </c>
      <c r="F179" s="13648" t="s">
        <v>2387</v>
      </c>
      <c r="G179" s="13648" t="s">
        <v>28</v>
      </c>
      <c r="H179" s="13648" t="s">
        <v>28</v>
      </c>
      <c r="I179" s="13648" t="s">
        <v>986</v>
      </c>
    </row>
    <row customHeight="1" ht="11.25">
      <c r="A180" s="13648" t="s">
        <v>2383</v>
      </c>
      <c r="B180" s="13648" t="s">
        <v>16</v>
      </c>
      <c r="C180" s="13648" t="s">
        <v>2826</v>
      </c>
      <c r="D180" s="13648" t="s">
        <v>2827</v>
      </c>
      <c r="E180" s="13648" t="s">
        <v>2828</v>
      </c>
      <c r="F180" s="13648" t="s">
        <v>2478</v>
      </c>
      <c r="G180" s="13648" t="s">
        <v>28</v>
      </c>
      <c r="H180" s="13648" t="s">
        <v>2829</v>
      </c>
      <c r="I180" s="13648" t="s">
        <v>986</v>
      </c>
    </row>
    <row customHeight="1" ht="11.25">
      <c r="A181" s="13648" t="s">
        <v>2383</v>
      </c>
      <c r="B181" s="13648" t="s">
        <v>16</v>
      </c>
      <c r="C181" s="13648" t="s">
        <v>2830</v>
      </c>
      <c r="D181" s="13648" t="s">
        <v>2831</v>
      </c>
      <c r="E181" s="13648" t="s">
        <v>2832</v>
      </c>
      <c r="F181" s="13648" t="s">
        <v>2641</v>
      </c>
      <c r="G181" s="13648" t="s">
        <v>2833</v>
      </c>
      <c r="H181" s="13648" t="s">
        <v>28</v>
      </c>
      <c r="I181" s="13648" t="s">
        <v>986</v>
      </c>
    </row>
    <row customHeight="1" ht="11.25">
      <c r="A182" s="13648" t="s">
        <v>2383</v>
      </c>
      <c r="B182" s="13648" t="s">
        <v>16</v>
      </c>
      <c r="C182" s="13648" t="s">
        <v>2834</v>
      </c>
      <c r="D182" s="13648" t="s">
        <v>2835</v>
      </c>
      <c r="E182" s="13648" t="s">
        <v>2836</v>
      </c>
      <c r="F182" s="13648" t="s">
        <v>2645</v>
      </c>
      <c r="G182" s="13648" t="s">
        <v>2837</v>
      </c>
      <c r="H182" s="13648" t="s">
        <v>28</v>
      </c>
      <c r="I182" s="13648" t="s">
        <v>986</v>
      </c>
    </row>
    <row customHeight="1" ht="11.25">
      <c r="A183" s="13648" t="s">
        <v>2383</v>
      </c>
      <c r="B183" s="13648" t="s">
        <v>16</v>
      </c>
      <c r="C183" s="13648" t="s">
        <v>2479</v>
      </c>
      <c r="D183" s="13648" t="s">
        <v>2480</v>
      </c>
      <c r="E183" s="13648" t="s">
        <v>2481</v>
      </c>
      <c r="F183" s="13648" t="s">
        <v>2471</v>
      </c>
      <c r="G183" s="13648" t="s">
        <v>28</v>
      </c>
      <c r="H183" s="13648" t="s">
        <v>28</v>
      </c>
      <c r="I183" s="13648" t="s">
        <v>986</v>
      </c>
    </row>
    <row customHeight="1" ht="11.25">
      <c r="A184" s="13648" t="s">
        <v>2383</v>
      </c>
      <c r="B184" s="13648" t="s">
        <v>16</v>
      </c>
      <c r="C184" s="13648" t="s">
        <v>2838</v>
      </c>
      <c r="D184" s="13648" t="s">
        <v>2839</v>
      </c>
      <c r="E184" s="13648" t="s">
        <v>2840</v>
      </c>
      <c r="F184" s="13648" t="s">
        <v>2491</v>
      </c>
      <c r="G184" s="13648" t="s">
        <v>28</v>
      </c>
      <c r="H184" s="13648" t="s">
        <v>28</v>
      </c>
      <c r="I184" s="13648" t="s">
        <v>986</v>
      </c>
    </row>
    <row customHeight="1" ht="11.25">
      <c r="A185" s="13648" t="s">
        <v>2383</v>
      </c>
      <c r="B185" s="13648" t="s">
        <v>16</v>
      </c>
      <c r="C185" s="13648" t="s">
        <v>2841</v>
      </c>
      <c r="D185" s="13648" t="s">
        <v>2842</v>
      </c>
      <c r="E185" s="13648" t="s">
        <v>2843</v>
      </c>
      <c r="F185" s="13648" t="s">
        <v>2580</v>
      </c>
      <c r="G185" s="13648" t="s">
        <v>2844</v>
      </c>
      <c r="H185" s="13648" t="s">
        <v>28</v>
      </c>
      <c r="I185" s="13648" t="s">
        <v>986</v>
      </c>
    </row>
    <row customHeight="1" ht="11.25">
      <c r="A186" s="13648" t="s">
        <v>2383</v>
      </c>
      <c r="B186" s="13648" t="s">
        <v>16</v>
      </c>
      <c r="C186" s="13648" t="s">
        <v>2845</v>
      </c>
      <c r="D186" s="13648" t="s">
        <v>2846</v>
      </c>
      <c r="E186" s="13648" t="s">
        <v>2847</v>
      </c>
      <c r="F186" s="13648" t="s">
        <v>2471</v>
      </c>
      <c r="G186" s="13648" t="s">
        <v>2848</v>
      </c>
      <c r="H186" s="13648" t="s">
        <v>28</v>
      </c>
      <c r="I186" s="13648" t="s">
        <v>986</v>
      </c>
    </row>
    <row customHeight="1" ht="11.25">
      <c r="A187" s="13648" t="s">
        <v>2383</v>
      </c>
      <c r="B187" s="13648" t="s">
        <v>16</v>
      </c>
      <c r="C187" s="13648" t="s">
        <v>2849</v>
      </c>
      <c r="D187" s="13648" t="s">
        <v>2850</v>
      </c>
      <c r="E187" s="13648" t="s">
        <v>2851</v>
      </c>
      <c r="F187" s="13648" t="s">
        <v>2395</v>
      </c>
      <c r="G187" s="13648" t="s">
        <v>28</v>
      </c>
      <c r="H187" s="13648" t="s">
        <v>28</v>
      </c>
      <c r="I187" s="13648" t="s">
        <v>986</v>
      </c>
    </row>
    <row customHeight="1" ht="11.25">
      <c r="A188" s="13648" t="s">
        <v>2383</v>
      </c>
      <c r="B188" s="13648" t="s">
        <v>16</v>
      </c>
      <c r="C188" s="13648" t="s">
        <v>2852</v>
      </c>
      <c r="D188" s="13648" t="s">
        <v>2853</v>
      </c>
      <c r="E188" s="13648" t="s">
        <v>2854</v>
      </c>
      <c r="F188" s="13648" t="s">
        <v>2471</v>
      </c>
      <c r="G188" s="13648" t="s">
        <v>28</v>
      </c>
      <c r="H188" s="13648" t="s">
        <v>28</v>
      </c>
      <c r="I188" s="13648" t="s">
        <v>986</v>
      </c>
    </row>
    <row customHeight="1" ht="11.25">
      <c r="A189" s="13648" t="s">
        <v>2383</v>
      </c>
      <c r="B189" s="13648" t="s">
        <v>16</v>
      </c>
      <c r="C189" s="13648" t="s">
        <v>2482</v>
      </c>
      <c r="D189" s="13648" t="s">
        <v>2483</v>
      </c>
      <c r="E189" s="13648" t="s">
        <v>2484</v>
      </c>
      <c r="F189" s="13648" t="s">
        <v>2462</v>
      </c>
      <c r="G189" s="13648" t="s">
        <v>28</v>
      </c>
      <c r="H189" s="13648" t="s">
        <v>28</v>
      </c>
      <c r="I189" s="13648" t="s">
        <v>986</v>
      </c>
    </row>
    <row customHeight="1" ht="11.25">
      <c r="A190" s="13648" t="s">
        <v>2383</v>
      </c>
      <c r="B190" s="13648" t="s">
        <v>16</v>
      </c>
      <c r="C190" s="13648" t="s">
        <v>2855</v>
      </c>
      <c r="D190" s="13648" t="s">
        <v>2856</v>
      </c>
      <c r="E190" s="13648" t="s">
        <v>2857</v>
      </c>
      <c r="F190" s="13648" t="s">
        <v>2424</v>
      </c>
      <c r="G190" s="13648" t="s">
        <v>28</v>
      </c>
      <c r="H190" s="13648" t="s">
        <v>28</v>
      </c>
      <c r="I190" s="13648" t="s">
        <v>986</v>
      </c>
    </row>
    <row customHeight="1" ht="11.25">
      <c r="A191" s="13648" t="s">
        <v>2383</v>
      </c>
      <c r="B191" s="13648" t="s">
        <v>16</v>
      </c>
      <c r="C191" s="13648" t="s">
        <v>2858</v>
      </c>
      <c r="D191" s="13648" t="s">
        <v>2859</v>
      </c>
      <c r="E191" s="13648" t="s">
        <v>2860</v>
      </c>
      <c r="F191" s="13648" t="s">
        <v>2478</v>
      </c>
      <c r="G191" s="13648" t="s">
        <v>28</v>
      </c>
      <c r="H191" s="13648" t="s">
        <v>28</v>
      </c>
      <c r="I191" s="13648" t="s">
        <v>986</v>
      </c>
    </row>
    <row customHeight="1" ht="11.25">
      <c r="A192" s="13648" t="s">
        <v>2383</v>
      </c>
      <c r="B192" s="13648" t="s">
        <v>16</v>
      </c>
      <c r="C192" s="13648" t="s">
        <v>2485</v>
      </c>
      <c r="D192" s="13648" t="s">
        <v>2486</v>
      </c>
      <c r="E192" s="13648" t="s">
        <v>2487</v>
      </c>
      <c r="F192" s="13648" t="s">
        <v>2478</v>
      </c>
      <c r="G192" s="13648" t="s">
        <v>28</v>
      </c>
      <c r="H192" s="13648" t="s">
        <v>28</v>
      </c>
      <c r="I192" s="13648" t="s">
        <v>986</v>
      </c>
    </row>
    <row customHeight="1" ht="11.25">
      <c r="A193" s="13648" t="s">
        <v>2383</v>
      </c>
      <c r="B193" s="13648" t="s">
        <v>16</v>
      </c>
      <c r="C193" s="13648" t="s">
        <v>2861</v>
      </c>
      <c r="D193" s="13648" t="s">
        <v>2862</v>
      </c>
      <c r="E193" s="13648" t="s">
        <v>2863</v>
      </c>
      <c r="F193" s="13648" t="s">
        <v>2505</v>
      </c>
      <c r="G193" s="13648" t="s">
        <v>28</v>
      </c>
      <c r="H193" s="13648" t="s">
        <v>28</v>
      </c>
      <c r="I193" s="13648" t="s">
        <v>986</v>
      </c>
    </row>
    <row customHeight="1" ht="11.25">
      <c r="A194" s="13648" t="s">
        <v>2383</v>
      </c>
      <c r="B194" s="13648" t="s">
        <v>16</v>
      </c>
      <c r="C194" s="13648" t="s">
        <v>2498</v>
      </c>
      <c r="D194" s="13648" t="s">
        <v>2499</v>
      </c>
      <c r="E194" s="13648" t="s">
        <v>2500</v>
      </c>
      <c r="F194" s="13648" t="s">
        <v>2491</v>
      </c>
      <c r="G194" s="13648" t="s">
        <v>2501</v>
      </c>
      <c r="H194" s="13648" t="s">
        <v>28</v>
      </c>
      <c r="I194" s="13648" t="s">
        <v>986</v>
      </c>
    </row>
    <row customHeight="1" ht="11.25">
      <c r="A195" s="13648" t="s">
        <v>2383</v>
      </c>
      <c r="B195" s="13648" t="s">
        <v>16</v>
      </c>
      <c r="C195" s="13648" t="s">
        <v>2864</v>
      </c>
      <c r="D195" s="13648" t="s">
        <v>2865</v>
      </c>
      <c r="E195" s="13648" t="s">
        <v>2866</v>
      </c>
      <c r="F195" s="13648" t="s">
        <v>2496</v>
      </c>
      <c r="G195" s="13648" t="s">
        <v>2867</v>
      </c>
      <c r="H195" s="13648" t="s">
        <v>28</v>
      </c>
      <c r="I195" s="13648" t="s">
        <v>986</v>
      </c>
    </row>
    <row customHeight="1" ht="11.25">
      <c r="A196" s="13648" t="s">
        <v>2383</v>
      </c>
      <c r="B196" s="13648" t="s">
        <v>16</v>
      </c>
      <c r="C196" s="13648" t="s">
        <v>2868</v>
      </c>
      <c r="D196" s="13648" t="s">
        <v>2869</v>
      </c>
      <c r="E196" s="13648" t="s">
        <v>2870</v>
      </c>
      <c r="F196" s="13648" t="s">
        <v>2496</v>
      </c>
      <c r="G196" s="13648" t="s">
        <v>2871</v>
      </c>
      <c r="H196" s="13648" t="s">
        <v>28</v>
      </c>
      <c r="I196" s="13648" t="s">
        <v>986</v>
      </c>
    </row>
    <row customHeight="1" ht="11.25">
      <c r="A197" s="13648" t="s">
        <v>2383</v>
      </c>
      <c r="B197" s="13648" t="s">
        <v>16</v>
      </c>
      <c r="C197" s="13648" t="s">
        <v>2872</v>
      </c>
      <c r="D197" s="13648" t="s">
        <v>2873</v>
      </c>
      <c r="E197" s="13648" t="s">
        <v>2874</v>
      </c>
      <c r="F197" s="13648" t="s">
        <v>2505</v>
      </c>
      <c r="G197" s="13648" t="s">
        <v>28</v>
      </c>
      <c r="H197" s="13648" t="s">
        <v>28</v>
      </c>
      <c r="I197" s="13648" t="s">
        <v>986</v>
      </c>
    </row>
    <row customHeight="1" ht="11.25">
      <c r="A198" s="13648" t="s">
        <v>2383</v>
      </c>
      <c r="B198" s="13648" t="s">
        <v>16</v>
      </c>
      <c r="C198" s="13648" t="s">
        <v>2875</v>
      </c>
      <c r="D198" s="13648" t="s">
        <v>2876</v>
      </c>
      <c r="E198" s="13648" t="s">
        <v>2877</v>
      </c>
      <c r="F198" s="13648" t="s">
        <v>2434</v>
      </c>
      <c r="G198" s="13648" t="s">
        <v>28</v>
      </c>
      <c r="H198" s="13648" t="s">
        <v>28</v>
      </c>
      <c r="I198" s="13648" t="s">
        <v>986</v>
      </c>
    </row>
    <row customHeight="1" ht="11.25">
      <c r="A199" s="13648" t="s">
        <v>2383</v>
      </c>
      <c r="B199" s="13648" t="s">
        <v>16</v>
      </c>
      <c r="C199" s="13648" t="s">
        <v>13</v>
      </c>
      <c r="D199" s="13648" t="s">
        <v>51</v>
      </c>
      <c r="E199" s="13648" t="s">
        <v>54</v>
      </c>
      <c r="F199" s="13648" t="s">
        <v>56</v>
      </c>
      <c r="G199" s="13648" t="s">
        <v>28</v>
      </c>
      <c r="H199" s="13648" t="s">
        <v>28</v>
      </c>
      <c r="I199" s="13648" t="s">
        <v>986</v>
      </c>
    </row>
    <row customHeight="1" ht="11.25">
      <c r="A200" s="13648" t="s">
        <v>2383</v>
      </c>
      <c r="B200" s="13648" t="s">
        <v>16</v>
      </c>
      <c r="C200" s="13648" t="s">
        <v>2878</v>
      </c>
      <c r="D200" s="13648" t="s">
        <v>2879</v>
      </c>
      <c r="E200" s="13648" t="s">
        <v>2880</v>
      </c>
      <c r="F200" s="13648" t="s">
        <v>2496</v>
      </c>
      <c r="G200" s="13648" t="s">
        <v>28</v>
      </c>
      <c r="H200" s="13648" t="s">
        <v>2881</v>
      </c>
      <c r="I200" s="13648" t="s">
        <v>986</v>
      </c>
    </row>
    <row customHeight="1" ht="11.25">
      <c r="A201" s="13648" t="s">
        <v>2383</v>
      </c>
      <c r="B201" s="13648" t="s">
        <v>16</v>
      </c>
      <c r="C201" s="13648" t="s">
        <v>2882</v>
      </c>
      <c r="D201" s="13648" t="s">
        <v>2883</v>
      </c>
      <c r="E201" s="13648" t="s">
        <v>2884</v>
      </c>
      <c r="F201" s="13648" t="s">
        <v>2617</v>
      </c>
      <c r="G201" s="13648" t="s">
        <v>28</v>
      </c>
      <c r="H201" s="13648" t="s">
        <v>28</v>
      </c>
      <c r="I201" s="13648" t="s">
        <v>986</v>
      </c>
    </row>
    <row customHeight="1" ht="11.25">
      <c r="A202" s="13648" t="s">
        <v>2383</v>
      </c>
      <c r="B202" s="13648" t="s">
        <v>16</v>
      </c>
      <c r="C202" s="13648" t="s">
        <v>2885</v>
      </c>
      <c r="D202" s="13648" t="s">
        <v>2886</v>
      </c>
      <c r="E202" s="13648" t="s">
        <v>2887</v>
      </c>
      <c r="F202" s="13648" t="s">
        <v>2540</v>
      </c>
      <c r="G202" s="13648" t="s">
        <v>28</v>
      </c>
      <c r="H202" s="13648" t="s">
        <v>28</v>
      </c>
      <c r="I202" s="13648" t="s">
        <v>986</v>
      </c>
    </row>
    <row customHeight="1" ht="11.25">
      <c r="A203" s="13648" t="s">
        <v>2383</v>
      </c>
      <c r="B203" s="13648" t="s">
        <v>16</v>
      </c>
      <c r="C203" s="13648" t="s">
        <v>2888</v>
      </c>
      <c r="D203" s="13648" t="s">
        <v>2889</v>
      </c>
      <c r="E203" s="13648" t="s">
        <v>2890</v>
      </c>
      <c r="F203" s="13648" t="s">
        <v>2395</v>
      </c>
      <c r="G203" s="13648" t="s">
        <v>28</v>
      </c>
      <c r="H203" s="13648" t="s">
        <v>28</v>
      </c>
      <c r="I203" s="13648" t="s">
        <v>986</v>
      </c>
    </row>
    <row customHeight="1" ht="11.25">
      <c r="A204" s="13648" t="s">
        <v>2383</v>
      </c>
      <c r="B204" s="13648" t="s">
        <v>16</v>
      </c>
      <c r="C204" s="13648" t="s">
        <v>2891</v>
      </c>
      <c r="D204" s="13648" t="s">
        <v>2892</v>
      </c>
      <c r="E204" s="13648" t="s">
        <v>2893</v>
      </c>
      <c r="F204" s="13648" t="s">
        <v>56</v>
      </c>
      <c r="G204" s="13648" t="s">
        <v>28</v>
      </c>
      <c r="H204" s="13648" t="s">
        <v>28</v>
      </c>
      <c r="I204" s="13648" t="s">
        <v>986</v>
      </c>
    </row>
    <row customHeight="1" ht="11.25">
      <c r="A205" s="13648" t="s">
        <v>2383</v>
      </c>
      <c r="B205" s="13648" t="s">
        <v>16</v>
      </c>
      <c r="C205" s="13648" t="s">
        <v>2894</v>
      </c>
      <c r="D205" s="13648" t="s">
        <v>2895</v>
      </c>
      <c r="E205" s="13648" t="s">
        <v>2896</v>
      </c>
      <c r="F205" s="13648" t="s">
        <v>2505</v>
      </c>
      <c r="G205" s="13648" t="s">
        <v>28</v>
      </c>
      <c r="H205" s="13648" t="s">
        <v>28</v>
      </c>
      <c r="I205" s="13648" t="s">
        <v>986</v>
      </c>
    </row>
    <row customHeight="1" ht="11.25">
      <c r="A206" s="13648" t="s">
        <v>2383</v>
      </c>
      <c r="B206" s="13648" t="s">
        <v>16</v>
      </c>
      <c r="C206" s="13648" t="s">
        <v>2897</v>
      </c>
      <c r="D206" s="13648" t="s">
        <v>2898</v>
      </c>
      <c r="E206" s="13648" t="s">
        <v>2899</v>
      </c>
      <c r="F206" s="13648" t="s">
        <v>2496</v>
      </c>
      <c r="G206" s="13648" t="s">
        <v>2900</v>
      </c>
      <c r="H206" s="13648" t="s">
        <v>28</v>
      </c>
      <c r="I206" s="13648" t="s">
        <v>986</v>
      </c>
    </row>
    <row customHeight="1" ht="11.25">
      <c r="A207" s="13648" t="s">
        <v>2383</v>
      </c>
      <c r="B207" s="13648" t="s">
        <v>16</v>
      </c>
      <c r="C207" s="13648" t="s">
        <v>2901</v>
      </c>
      <c r="D207" s="13648" t="s">
        <v>2531</v>
      </c>
      <c r="E207" s="13648" t="s">
        <v>2532</v>
      </c>
      <c r="F207" s="13648" t="s">
        <v>2478</v>
      </c>
      <c r="G207" s="13648" t="s">
        <v>28</v>
      </c>
      <c r="H207" s="13648" t="s">
        <v>28</v>
      </c>
      <c r="I207" s="13648" t="s">
        <v>986</v>
      </c>
    </row>
    <row customHeight="1" ht="11.25">
      <c r="A208" s="13648" t="s">
        <v>2383</v>
      </c>
      <c r="B208" s="13648" t="s">
        <v>16</v>
      </c>
      <c r="C208" s="13648" t="s">
        <v>2530</v>
      </c>
      <c r="D208" s="13648" t="s">
        <v>2531</v>
      </c>
      <c r="E208" s="13648" t="s">
        <v>2532</v>
      </c>
      <c r="F208" s="13648" t="s">
        <v>2533</v>
      </c>
      <c r="G208" s="13648" t="s">
        <v>28</v>
      </c>
      <c r="H208" s="13648" t="s">
        <v>28</v>
      </c>
      <c r="I208" s="13648" t="s">
        <v>986</v>
      </c>
    </row>
    <row customHeight="1" ht="11.25">
      <c r="A209" s="13648" t="s">
        <v>2383</v>
      </c>
      <c r="B209" s="13648" t="s">
        <v>16</v>
      </c>
      <c r="C209" s="13648" t="s">
        <v>2902</v>
      </c>
      <c r="D209" s="13648" t="s">
        <v>2903</v>
      </c>
      <c r="E209" s="13648" t="s">
        <v>2904</v>
      </c>
      <c r="F209" s="13648" t="s">
        <v>2576</v>
      </c>
      <c r="G209" s="13648" t="s">
        <v>28</v>
      </c>
      <c r="H209" s="13648" t="s">
        <v>28</v>
      </c>
      <c r="I209" s="13648" t="s">
        <v>986</v>
      </c>
    </row>
    <row customHeight="1" ht="11.25">
      <c r="A210" s="13648" t="s">
        <v>2383</v>
      </c>
      <c r="B210" s="13648" t="s">
        <v>16</v>
      </c>
      <c r="C210" s="13648" t="s">
        <v>2905</v>
      </c>
      <c r="D210" s="13648" t="s">
        <v>2906</v>
      </c>
      <c r="E210" s="13648" t="s">
        <v>2907</v>
      </c>
      <c r="F210" s="13648" t="s">
        <v>2424</v>
      </c>
      <c r="G210" s="13648" t="s">
        <v>28</v>
      </c>
      <c r="H210" s="13648" t="s">
        <v>28</v>
      </c>
      <c r="I210" s="13648" t="s">
        <v>986</v>
      </c>
    </row>
    <row customHeight="1" ht="11.25">
      <c r="A211" s="13648" t="s">
        <v>2383</v>
      </c>
      <c r="B211" s="13648" t="s">
        <v>16</v>
      </c>
      <c r="C211" s="13648" t="s">
        <v>2908</v>
      </c>
      <c r="D211" s="13648" t="s">
        <v>2909</v>
      </c>
      <c r="E211" s="13648" t="s">
        <v>2910</v>
      </c>
      <c r="F211" s="13648" t="s">
        <v>2471</v>
      </c>
      <c r="G211" s="13648" t="s">
        <v>28</v>
      </c>
      <c r="H211" s="13648" t="s">
        <v>28</v>
      </c>
      <c r="I211" s="13648" t="s">
        <v>986</v>
      </c>
    </row>
    <row customHeight="1" ht="11.25">
      <c r="A212" s="13648" t="s">
        <v>2383</v>
      </c>
      <c r="B212" s="13648" t="s">
        <v>16</v>
      </c>
      <c r="C212" s="13648" t="s">
        <v>2911</v>
      </c>
      <c r="D212" s="13648" t="s">
        <v>2912</v>
      </c>
      <c r="E212" s="13648" t="s">
        <v>2913</v>
      </c>
      <c r="F212" s="13648" t="s">
        <v>2815</v>
      </c>
      <c r="G212" s="13648" t="s">
        <v>28</v>
      </c>
      <c r="H212" s="13648" t="s">
        <v>28</v>
      </c>
      <c r="I212" s="13648" t="s">
        <v>986</v>
      </c>
    </row>
    <row customHeight="1" ht="11.25">
      <c r="A213" s="13648" t="s">
        <v>2383</v>
      </c>
      <c r="B213" s="13648" t="s">
        <v>16</v>
      </c>
      <c r="C213" s="13648" t="s">
        <v>2914</v>
      </c>
      <c r="D213" s="13648" t="s">
        <v>2915</v>
      </c>
      <c r="E213" s="13648" t="s">
        <v>2916</v>
      </c>
      <c r="F213" s="13648" t="s">
        <v>2558</v>
      </c>
      <c r="G213" s="13648" t="s">
        <v>28</v>
      </c>
      <c r="H213" s="13648" t="s">
        <v>28</v>
      </c>
      <c r="I213" s="13648" t="s">
        <v>986</v>
      </c>
    </row>
    <row customHeight="1" ht="11.25">
      <c r="A214" s="13648" t="s">
        <v>2383</v>
      </c>
      <c r="B214" s="13648" t="s">
        <v>16</v>
      </c>
      <c r="C214" s="13648" t="s">
        <v>2537</v>
      </c>
      <c r="D214" s="13648" t="s">
        <v>2538</v>
      </c>
      <c r="E214" s="13648" t="s">
        <v>2539</v>
      </c>
      <c r="F214" s="13648" t="s">
        <v>2540</v>
      </c>
      <c r="G214" s="13648" t="s">
        <v>28</v>
      </c>
      <c r="H214" s="13648" t="s">
        <v>28</v>
      </c>
      <c r="I214" s="13648" t="s">
        <v>986</v>
      </c>
    </row>
    <row customHeight="1" ht="11.25">
      <c r="A215" s="13648" t="s">
        <v>2383</v>
      </c>
      <c r="B215" s="13648" t="s">
        <v>16</v>
      </c>
      <c r="C215" s="13648" t="s">
        <v>2917</v>
      </c>
      <c r="D215" s="13648" t="s">
        <v>2918</v>
      </c>
      <c r="E215" s="13648" t="s">
        <v>2919</v>
      </c>
      <c r="F215" s="13648" t="s">
        <v>2540</v>
      </c>
      <c r="G215" s="13648" t="s">
        <v>28</v>
      </c>
      <c r="H215" s="13648" t="s">
        <v>28</v>
      </c>
      <c r="I215" s="13648" t="s">
        <v>986</v>
      </c>
    </row>
    <row customHeight="1" ht="11.25">
      <c r="A216" s="13648" t="s">
        <v>2383</v>
      </c>
      <c r="B216" s="13648" t="s">
        <v>16</v>
      </c>
      <c r="C216" s="13648" t="s">
        <v>2920</v>
      </c>
      <c r="D216" s="13648" t="s">
        <v>2921</v>
      </c>
      <c r="E216" s="13648" t="s">
        <v>2922</v>
      </c>
      <c r="F216" s="13648" t="s">
        <v>2645</v>
      </c>
      <c r="G216" s="13648" t="s">
        <v>28</v>
      </c>
      <c r="H216" s="13648" t="s">
        <v>28</v>
      </c>
      <c r="I216" s="13648" t="s">
        <v>986</v>
      </c>
    </row>
    <row customHeight="1" ht="11.25">
      <c r="A217" s="13648" t="s">
        <v>2383</v>
      </c>
      <c r="B217" s="13648" t="s">
        <v>16</v>
      </c>
      <c r="C217" s="13648" t="s">
        <v>2923</v>
      </c>
      <c r="D217" s="13648" t="s">
        <v>2924</v>
      </c>
      <c r="E217" s="13648" t="s">
        <v>2925</v>
      </c>
      <c r="F217" s="13648" t="s">
        <v>56</v>
      </c>
      <c r="G217" s="13648" t="s">
        <v>2926</v>
      </c>
      <c r="H217" s="13648" t="s">
        <v>28</v>
      </c>
      <c r="I217" s="13648" t="s">
        <v>986</v>
      </c>
    </row>
    <row customHeight="1" ht="11.25">
      <c r="A218" s="13648" t="s">
        <v>2383</v>
      </c>
      <c r="B218" s="13648" t="s">
        <v>16</v>
      </c>
      <c r="C218" s="13648" t="s">
        <v>2927</v>
      </c>
      <c r="D218" s="13648" t="s">
        <v>2928</v>
      </c>
      <c r="E218" s="13648" t="s">
        <v>2929</v>
      </c>
      <c r="F218" s="13648" t="s">
        <v>2596</v>
      </c>
      <c r="G218" s="13648" t="s">
        <v>28</v>
      </c>
      <c r="H218" s="13648" t="s">
        <v>28</v>
      </c>
      <c r="I218" s="13648" t="s">
        <v>986</v>
      </c>
    </row>
    <row customHeight="1" ht="11.25">
      <c r="A219" s="13648" t="s">
        <v>2383</v>
      </c>
      <c r="B219" s="13648" t="s">
        <v>16</v>
      </c>
      <c r="C219" s="13648" t="s">
        <v>2930</v>
      </c>
      <c r="D219" s="13648" t="s">
        <v>2931</v>
      </c>
      <c r="E219" s="13648" t="s">
        <v>2932</v>
      </c>
      <c r="F219" s="13648" t="s">
        <v>2933</v>
      </c>
      <c r="G219" s="13648" t="s">
        <v>28</v>
      </c>
      <c r="H219" s="13648" t="s">
        <v>28</v>
      </c>
      <c r="I219" s="13648" t="s">
        <v>986</v>
      </c>
    </row>
    <row customHeight="1" ht="11.25">
      <c r="A220" s="13648" t="s">
        <v>2383</v>
      </c>
      <c r="B220" s="13648" t="s">
        <v>16</v>
      </c>
      <c r="C220" s="13648" t="s">
        <v>2559</v>
      </c>
      <c r="D220" s="13648" t="s">
        <v>2560</v>
      </c>
      <c r="E220" s="13648" t="s">
        <v>2561</v>
      </c>
      <c r="F220" s="13648" t="s">
        <v>2478</v>
      </c>
      <c r="G220" s="13648" t="s">
        <v>28</v>
      </c>
      <c r="H220" s="13648" t="s">
        <v>28</v>
      </c>
      <c r="I220" s="13648" t="s">
        <v>986</v>
      </c>
    </row>
    <row customHeight="1" ht="11.25">
      <c r="A221" s="13648" t="s">
        <v>2383</v>
      </c>
      <c r="B221" s="13648" t="s">
        <v>16</v>
      </c>
      <c r="C221" s="13648" t="s">
        <v>2562</v>
      </c>
      <c r="D221" s="13648" t="s">
        <v>2563</v>
      </c>
      <c r="E221" s="13648" t="s">
        <v>2564</v>
      </c>
      <c r="F221" s="13648" t="s">
        <v>2565</v>
      </c>
      <c r="G221" s="13648" t="s">
        <v>2566</v>
      </c>
      <c r="H221" s="13648" t="s">
        <v>28</v>
      </c>
      <c r="I221" s="13648" t="s">
        <v>986</v>
      </c>
    </row>
    <row customHeight="1" ht="11.25">
      <c r="A222" s="13648" t="s">
        <v>2383</v>
      </c>
      <c r="B222" s="13648" t="s">
        <v>16</v>
      </c>
      <c r="C222" s="13648" t="s">
        <v>2567</v>
      </c>
      <c r="D222" s="13648" t="s">
        <v>2568</v>
      </c>
      <c r="E222" s="13648" t="s">
        <v>2569</v>
      </c>
      <c r="F222" s="13648" t="s">
        <v>2395</v>
      </c>
      <c r="G222" s="13648" t="s">
        <v>28</v>
      </c>
      <c r="H222" s="13648" t="s">
        <v>28</v>
      </c>
      <c r="I222" s="13648" t="s">
        <v>986</v>
      </c>
    </row>
    <row customHeight="1" ht="11.25">
      <c r="A223" s="13648" t="s">
        <v>2383</v>
      </c>
      <c r="B223" s="13648" t="s">
        <v>16</v>
      </c>
      <c r="C223" s="13648" t="s">
        <v>2934</v>
      </c>
      <c r="D223" s="13648" t="s">
        <v>2935</v>
      </c>
      <c r="E223" s="13648" t="s">
        <v>2936</v>
      </c>
      <c r="F223" s="13648" t="s">
        <v>2641</v>
      </c>
      <c r="G223" s="13648" t="s">
        <v>28</v>
      </c>
      <c r="H223" s="13648" t="s">
        <v>28</v>
      </c>
      <c r="I223" s="13648" t="s">
        <v>986</v>
      </c>
    </row>
    <row customHeight="1" ht="11.25">
      <c r="A224" s="13648" t="s">
        <v>2383</v>
      </c>
      <c r="B224" s="13648" t="s">
        <v>16</v>
      </c>
      <c r="C224" s="13648" t="s">
        <v>2937</v>
      </c>
      <c r="D224" s="13648" t="s">
        <v>2938</v>
      </c>
      <c r="E224" s="13648" t="s">
        <v>2939</v>
      </c>
      <c r="F224" s="13648" t="s">
        <v>2395</v>
      </c>
      <c r="G224" s="13648" t="s">
        <v>28</v>
      </c>
      <c r="H224" s="13648" t="s">
        <v>28</v>
      </c>
      <c r="I224" s="13648" t="s">
        <v>986</v>
      </c>
    </row>
    <row customHeight="1" ht="11.25">
      <c r="A225" s="13648" t="s">
        <v>2383</v>
      </c>
      <c r="B225" s="13648" t="s">
        <v>16</v>
      </c>
      <c r="C225" s="13648" t="s">
        <v>2586</v>
      </c>
      <c r="D225" s="13648" t="s">
        <v>2587</v>
      </c>
      <c r="E225" s="13648" t="s">
        <v>2588</v>
      </c>
      <c r="F225" s="13648" t="s">
        <v>56</v>
      </c>
      <c r="G225" s="13648" t="s">
        <v>28</v>
      </c>
      <c r="H225" s="13648" t="s">
        <v>28</v>
      </c>
      <c r="I225" s="13648" t="s">
        <v>986</v>
      </c>
    </row>
    <row customHeight="1" ht="11.25">
      <c r="A226" s="13648" t="s">
        <v>2383</v>
      </c>
      <c r="B226" s="13648" t="s">
        <v>16</v>
      </c>
      <c r="C226" s="13648" t="s">
        <v>2589</v>
      </c>
      <c r="D226" s="13648" t="s">
        <v>2590</v>
      </c>
      <c r="E226" s="13648" t="s">
        <v>2591</v>
      </c>
      <c r="F226" s="13648" t="s">
        <v>56</v>
      </c>
      <c r="G226" s="13648" t="s">
        <v>2592</v>
      </c>
      <c r="H226" s="13648" t="s">
        <v>28</v>
      </c>
      <c r="I226" s="13648" t="s">
        <v>986</v>
      </c>
    </row>
    <row customHeight="1" ht="11.25">
      <c r="A227" s="13648" t="s">
        <v>2383</v>
      </c>
      <c r="B227" s="13648" t="s">
        <v>16</v>
      </c>
      <c r="C227" s="13648" t="s">
        <v>2940</v>
      </c>
      <c r="D227" s="13648" t="s">
        <v>2941</v>
      </c>
      <c r="E227" s="13648" t="s">
        <v>2942</v>
      </c>
      <c r="F227" s="13648" t="s">
        <v>2580</v>
      </c>
      <c r="G227" s="13648" t="s">
        <v>28</v>
      </c>
      <c r="H227" s="13648" t="s">
        <v>28</v>
      </c>
      <c r="I227" s="13648" t="s">
        <v>986</v>
      </c>
    </row>
    <row customHeight="1" ht="11.25">
      <c r="A228" s="13648" t="s">
        <v>2383</v>
      </c>
      <c r="B228" s="13648" t="s">
        <v>16</v>
      </c>
      <c r="C228" s="13648" t="s">
        <v>2593</v>
      </c>
      <c r="D228" s="13648" t="s">
        <v>2594</v>
      </c>
      <c r="E228" s="13648" t="s">
        <v>2595</v>
      </c>
      <c r="F228" s="13648" t="s">
        <v>2596</v>
      </c>
      <c r="G228" s="13648" t="s">
        <v>28</v>
      </c>
      <c r="H228" s="13648" t="s">
        <v>28</v>
      </c>
      <c r="I228" s="13648" t="s">
        <v>986</v>
      </c>
    </row>
    <row customHeight="1" ht="11.25">
      <c r="A229" s="13648" t="s">
        <v>2383</v>
      </c>
      <c r="B229" s="13648" t="s">
        <v>16</v>
      </c>
      <c r="C229" s="13648" t="s">
        <v>2601</v>
      </c>
      <c r="D229" s="13648" t="s">
        <v>2602</v>
      </c>
      <c r="E229" s="13648" t="s">
        <v>2603</v>
      </c>
      <c r="F229" s="13648" t="s">
        <v>2457</v>
      </c>
      <c r="G229" s="13648" t="s">
        <v>28</v>
      </c>
      <c r="H229" s="13648" t="s">
        <v>28</v>
      </c>
      <c r="I229" s="13648" t="s">
        <v>986</v>
      </c>
    </row>
    <row customHeight="1" ht="11.25">
      <c r="A230" s="13648" t="s">
        <v>2383</v>
      </c>
      <c r="B230" s="13648" t="s">
        <v>16</v>
      </c>
      <c r="C230" s="13648" t="s">
        <v>2607</v>
      </c>
      <c r="D230" s="13648" t="s">
        <v>2608</v>
      </c>
      <c r="E230" s="13648" t="s">
        <v>2609</v>
      </c>
      <c r="F230" s="13648" t="s">
        <v>2387</v>
      </c>
      <c r="G230" s="13648" t="s">
        <v>28</v>
      </c>
      <c r="H230" s="13648" t="s">
        <v>28</v>
      </c>
      <c r="I230" s="13648" t="s">
        <v>986</v>
      </c>
    </row>
    <row customHeight="1" ht="11.25">
      <c r="A231" s="13648" t="s">
        <v>2383</v>
      </c>
      <c r="B231" s="13648" t="s">
        <v>16</v>
      </c>
      <c r="C231" s="13648" t="s">
        <v>2943</v>
      </c>
      <c r="D231" s="13648" t="s">
        <v>2944</v>
      </c>
      <c r="E231" s="13648" t="s">
        <v>2945</v>
      </c>
      <c r="F231" s="13648" t="s">
        <v>2706</v>
      </c>
      <c r="G231" s="13648" t="s">
        <v>28</v>
      </c>
      <c r="H231" s="13648" t="s">
        <v>28</v>
      </c>
      <c r="I231" s="13648" t="s">
        <v>986</v>
      </c>
    </row>
    <row customHeight="1" ht="11.25">
      <c r="A232" s="13648" t="s">
        <v>2383</v>
      </c>
      <c r="B232" s="13648" t="s">
        <v>16</v>
      </c>
      <c r="C232" s="13648" t="s">
        <v>2946</v>
      </c>
      <c r="D232" s="13648" t="s">
        <v>2947</v>
      </c>
      <c r="E232" s="13648" t="s">
        <v>2948</v>
      </c>
      <c r="F232" s="13648" t="s">
        <v>2596</v>
      </c>
      <c r="G232" s="13648" t="s">
        <v>2949</v>
      </c>
      <c r="H232" s="13648" t="s">
        <v>28</v>
      </c>
      <c r="I232" s="13648" t="s">
        <v>986</v>
      </c>
    </row>
    <row customHeight="1" ht="11.25">
      <c r="A233" s="13648" t="s">
        <v>2383</v>
      </c>
      <c r="B233" s="13648" t="s">
        <v>16</v>
      </c>
      <c r="C233" s="13648" t="s">
        <v>2950</v>
      </c>
      <c r="D233" s="13648" t="s">
        <v>2951</v>
      </c>
      <c r="E233" s="13648" t="s">
        <v>2952</v>
      </c>
      <c r="F233" s="13648" t="s">
        <v>2953</v>
      </c>
      <c r="G233" s="13648" t="s">
        <v>28</v>
      </c>
      <c r="H233" s="13648" t="s">
        <v>28</v>
      </c>
      <c r="I233" s="13648" t="s">
        <v>986</v>
      </c>
    </row>
    <row customHeight="1" ht="11.25">
      <c r="A234" s="13648" t="s">
        <v>2383</v>
      </c>
      <c r="B234" s="13648" t="s">
        <v>16</v>
      </c>
      <c r="C234" s="13648" t="s">
        <v>2610</v>
      </c>
      <c r="D234" s="13648" t="s">
        <v>2611</v>
      </c>
      <c r="E234" s="13648" t="s">
        <v>2612</v>
      </c>
      <c r="F234" s="13648" t="s">
        <v>2613</v>
      </c>
      <c r="G234" s="13648" t="s">
        <v>28</v>
      </c>
      <c r="H234" s="13648" t="s">
        <v>28</v>
      </c>
      <c r="I234" s="13648" t="s">
        <v>986</v>
      </c>
    </row>
    <row customHeight="1" ht="11.25">
      <c r="A235" s="13648" t="s">
        <v>2383</v>
      </c>
      <c r="B235" s="13648" t="s">
        <v>16</v>
      </c>
      <c r="C235" s="13648" t="s">
        <v>2954</v>
      </c>
      <c r="D235" s="13648" t="s">
        <v>2955</v>
      </c>
      <c r="E235" s="13648" t="s">
        <v>2956</v>
      </c>
      <c r="F235" s="13648" t="s">
        <v>2617</v>
      </c>
      <c r="G235" s="13648" t="s">
        <v>28</v>
      </c>
      <c r="H235" s="13648" t="s">
        <v>28</v>
      </c>
      <c r="I235" s="13648" t="s">
        <v>986</v>
      </c>
    </row>
    <row customHeight="1" ht="11.25">
      <c r="A236" s="13648" t="s">
        <v>2383</v>
      </c>
      <c r="B236" s="13648" t="s">
        <v>16</v>
      </c>
      <c r="C236" s="13648" t="s">
        <v>2957</v>
      </c>
      <c r="D236" s="13648" t="s">
        <v>2958</v>
      </c>
      <c r="E236" s="13648" t="s">
        <v>2959</v>
      </c>
      <c r="F236" s="13648" t="s">
        <v>2491</v>
      </c>
      <c r="G236" s="13648" t="s">
        <v>28</v>
      </c>
      <c r="H236" s="13648" t="s">
        <v>28</v>
      </c>
      <c r="I236" s="13648" t="s">
        <v>986</v>
      </c>
    </row>
    <row customHeight="1" ht="11.25">
      <c r="A237" s="13648" t="s">
        <v>2383</v>
      </c>
      <c r="B237" s="13648" t="s">
        <v>16</v>
      </c>
      <c r="C237" s="13648" t="s">
        <v>2632</v>
      </c>
      <c r="D237" s="13648" t="s">
        <v>2633</v>
      </c>
      <c r="E237" s="13648" t="s">
        <v>2634</v>
      </c>
      <c r="F237" s="13648" t="s">
        <v>2596</v>
      </c>
      <c r="G237" s="13648" t="s">
        <v>28</v>
      </c>
      <c r="H237" s="13648" t="s">
        <v>28</v>
      </c>
      <c r="I237" s="13648" t="s">
        <v>986</v>
      </c>
    </row>
    <row customHeight="1" ht="11.25">
      <c r="A238" s="13648" t="s">
        <v>2383</v>
      </c>
      <c r="B238" s="13648" t="s">
        <v>16</v>
      </c>
      <c r="C238" s="13648" t="s">
        <v>2638</v>
      </c>
      <c r="D238" s="13648" t="s">
        <v>2639</v>
      </c>
      <c r="E238" s="13648" t="s">
        <v>2640</v>
      </c>
      <c r="F238" s="13648" t="s">
        <v>2641</v>
      </c>
      <c r="G238" s="13648" t="s">
        <v>28</v>
      </c>
      <c r="H238" s="13648" t="s">
        <v>28</v>
      </c>
      <c r="I238" s="13648" t="s">
        <v>986</v>
      </c>
    </row>
    <row customHeight="1" ht="11.25">
      <c r="A239" s="13648" t="s">
        <v>2383</v>
      </c>
      <c r="B239" s="13648" t="s">
        <v>16</v>
      </c>
      <c r="C239" s="13648" t="s">
        <v>2960</v>
      </c>
      <c r="D239" s="13648" t="s">
        <v>2961</v>
      </c>
      <c r="E239" s="13648" t="s">
        <v>2962</v>
      </c>
      <c r="F239" s="13648" t="s">
        <v>2641</v>
      </c>
      <c r="G239" s="13648" t="s">
        <v>28</v>
      </c>
      <c r="H239" s="13648" t="s">
        <v>28</v>
      </c>
      <c r="I239" s="13648" t="s">
        <v>986</v>
      </c>
    </row>
    <row customHeight="1" ht="11.25">
      <c r="A240" s="13648" t="s">
        <v>2383</v>
      </c>
      <c r="B240" s="13648" t="s">
        <v>16</v>
      </c>
      <c r="C240" s="13648" t="s">
        <v>2646</v>
      </c>
      <c r="D240" s="13648" t="s">
        <v>2647</v>
      </c>
      <c r="E240" s="13648" t="s">
        <v>2648</v>
      </c>
      <c r="F240" s="13648" t="s">
        <v>2649</v>
      </c>
      <c r="G240" s="13648" t="s">
        <v>2650</v>
      </c>
      <c r="H240" s="13648" t="s">
        <v>28</v>
      </c>
      <c r="I240" s="13648" t="s">
        <v>986</v>
      </c>
    </row>
    <row customHeight="1" ht="11.25">
      <c r="A241" s="13648" t="s">
        <v>2383</v>
      </c>
      <c r="B241" s="13648" t="s">
        <v>16</v>
      </c>
      <c r="C241" s="13648" t="s">
        <v>2651</v>
      </c>
      <c r="D241" s="13648" t="s">
        <v>2652</v>
      </c>
      <c r="E241" s="13648" t="s">
        <v>2399</v>
      </c>
      <c r="F241" s="13648" t="s">
        <v>2653</v>
      </c>
      <c r="G241" s="13648" t="s">
        <v>28</v>
      </c>
      <c r="H241" s="13648" t="s">
        <v>28</v>
      </c>
      <c r="I241" s="13648" t="s">
        <v>986</v>
      </c>
    </row>
    <row customHeight="1" ht="11.25">
      <c r="A242" s="13648" t="s">
        <v>2383</v>
      </c>
      <c r="B242" s="13648" t="s">
        <v>16</v>
      </c>
      <c r="C242" s="13648" t="s">
        <v>2654</v>
      </c>
      <c r="D242" s="13648" t="s">
        <v>2655</v>
      </c>
      <c r="E242" s="13648" t="s">
        <v>2414</v>
      </c>
      <c r="F242" s="13648" t="s">
        <v>2478</v>
      </c>
      <c r="G242" s="13648" t="s">
        <v>28</v>
      </c>
      <c r="H242" s="13648" t="s">
        <v>28</v>
      </c>
      <c r="I242" s="13648" t="s">
        <v>986</v>
      </c>
    </row>
    <row customHeight="1" ht="11.25">
      <c r="A243" s="13648" t="s">
        <v>2383</v>
      </c>
      <c r="B243" s="13648" t="s">
        <v>16</v>
      </c>
      <c r="C243" s="13648" t="s">
        <v>2963</v>
      </c>
      <c r="D243" s="13648" t="s">
        <v>2964</v>
      </c>
      <c r="E243" s="13648" t="s">
        <v>2965</v>
      </c>
      <c r="F243" s="13648" t="s">
        <v>2403</v>
      </c>
      <c r="G243" s="13648" t="s">
        <v>28</v>
      </c>
      <c r="H243" s="13648" t="s">
        <v>28</v>
      </c>
      <c r="I243" s="13648" t="s">
        <v>986</v>
      </c>
    </row>
    <row customHeight="1" ht="11.25">
      <c r="A244" s="13648" t="s">
        <v>2383</v>
      </c>
      <c r="B244" s="13648" t="s">
        <v>16</v>
      </c>
      <c r="C244" s="13648" t="s">
        <v>2966</v>
      </c>
      <c r="D244" s="13648" t="s">
        <v>2967</v>
      </c>
      <c r="E244" s="13648" t="s">
        <v>2968</v>
      </c>
      <c r="F244" s="13648" t="s">
        <v>2641</v>
      </c>
      <c r="G244" s="13648" t="s">
        <v>2969</v>
      </c>
      <c r="H244" s="13648" t="s">
        <v>28</v>
      </c>
      <c r="I244" s="13648" t="s">
        <v>986</v>
      </c>
    </row>
    <row customHeight="1" ht="11.25">
      <c r="A245" s="13648" t="s">
        <v>2383</v>
      </c>
      <c r="B245" s="13648" t="s">
        <v>16</v>
      </c>
      <c r="C245" s="13648" t="s">
        <v>2970</v>
      </c>
      <c r="D245" s="13648" t="s">
        <v>2971</v>
      </c>
      <c r="E245" s="13648" t="s">
        <v>2972</v>
      </c>
      <c r="F245" s="13648" t="s">
        <v>2641</v>
      </c>
      <c r="G245" s="13648" t="s">
        <v>28</v>
      </c>
      <c r="H245" s="13648" t="s">
        <v>28</v>
      </c>
      <c r="I245" s="13648" t="s">
        <v>986</v>
      </c>
    </row>
    <row customHeight="1" ht="11.25">
      <c r="A246" s="13648" t="s">
        <v>2383</v>
      </c>
      <c r="B246" s="13648" t="s">
        <v>16</v>
      </c>
      <c r="C246" s="13648" t="s">
        <v>2973</v>
      </c>
      <c r="D246" s="13648" t="s">
        <v>2974</v>
      </c>
      <c r="E246" s="13648" t="s">
        <v>2975</v>
      </c>
      <c r="F246" s="13648" t="s">
        <v>2788</v>
      </c>
      <c r="G246" s="13648" t="s">
        <v>2976</v>
      </c>
      <c r="H246" s="13648" t="s">
        <v>28</v>
      </c>
      <c r="I246" s="13648" t="s">
        <v>986</v>
      </c>
    </row>
    <row customHeight="1" ht="11.25">
      <c r="A247" s="13648" t="s">
        <v>2383</v>
      </c>
      <c r="B247" s="13648" t="s">
        <v>16</v>
      </c>
      <c r="C247" s="13648" t="s">
        <v>2977</v>
      </c>
      <c r="D247" s="13648" t="s">
        <v>2978</v>
      </c>
      <c r="E247" s="13648" t="s">
        <v>2979</v>
      </c>
      <c r="F247" s="13648" t="s">
        <v>2788</v>
      </c>
      <c r="G247" s="13648" t="s">
        <v>28</v>
      </c>
      <c r="H247" s="13648" t="s">
        <v>28</v>
      </c>
      <c r="I247" s="13648" t="s">
        <v>986</v>
      </c>
    </row>
    <row customHeight="1" ht="11.25">
      <c r="A248" s="13648" t="s">
        <v>2383</v>
      </c>
      <c r="B248" s="13648" t="s">
        <v>16</v>
      </c>
      <c r="C248" s="13648" t="s">
        <v>2980</v>
      </c>
      <c r="D248" s="13648" t="s">
        <v>2981</v>
      </c>
      <c r="E248" s="13648" t="s">
        <v>2982</v>
      </c>
      <c r="F248" s="13648" t="s">
        <v>2457</v>
      </c>
      <c r="G248" s="13648" t="s">
        <v>28</v>
      </c>
      <c r="H248" s="13648" t="s">
        <v>28</v>
      </c>
      <c r="I248" s="13648" t="s">
        <v>986</v>
      </c>
    </row>
    <row customHeight="1" ht="11.25">
      <c r="A249" s="13648" t="s">
        <v>2383</v>
      </c>
      <c r="B249" s="13648" t="s">
        <v>16</v>
      </c>
      <c r="C249" s="13648" t="s">
        <v>2659</v>
      </c>
      <c r="D249" s="13648" t="s">
        <v>2660</v>
      </c>
      <c r="E249" s="13648" t="s">
        <v>2661</v>
      </c>
      <c r="F249" s="13648" t="s">
        <v>2580</v>
      </c>
      <c r="G249" s="13648" t="s">
        <v>28</v>
      </c>
      <c r="H249" s="13648" t="s">
        <v>28</v>
      </c>
      <c r="I249" s="13648" t="s">
        <v>986</v>
      </c>
    </row>
    <row customHeight="1" ht="11.25">
      <c r="A250" s="13648" t="s">
        <v>2383</v>
      </c>
      <c r="B250" s="13648" t="s">
        <v>16</v>
      </c>
      <c r="C250" s="13648" t="s">
        <v>2983</v>
      </c>
      <c r="D250" s="13648" t="s">
        <v>2984</v>
      </c>
      <c r="E250" s="13648" t="s">
        <v>2985</v>
      </c>
      <c r="F250" s="13648" t="s">
        <v>2395</v>
      </c>
      <c r="G250" s="13648" t="s">
        <v>28</v>
      </c>
      <c r="H250" s="13648" t="s">
        <v>28</v>
      </c>
      <c r="I250" s="13648" t="s">
        <v>986</v>
      </c>
    </row>
    <row customHeight="1" ht="11.25">
      <c r="A251" s="13648" t="s">
        <v>2383</v>
      </c>
      <c r="B251" s="13648" t="s">
        <v>16</v>
      </c>
      <c r="C251" s="13648" t="s">
        <v>2662</v>
      </c>
      <c r="D251" s="13648" t="s">
        <v>2663</v>
      </c>
      <c r="E251" s="13648" t="s">
        <v>2437</v>
      </c>
      <c r="F251" s="13648" t="s">
        <v>2664</v>
      </c>
      <c r="G251" s="13648" t="s">
        <v>28</v>
      </c>
      <c r="H251" s="13648" t="s">
        <v>28</v>
      </c>
      <c r="I251" s="13648" t="s">
        <v>986</v>
      </c>
    </row>
    <row customHeight="1" ht="11.25">
      <c r="A252" s="13648" t="s">
        <v>2383</v>
      </c>
      <c r="B252" s="13648" t="s">
        <v>16</v>
      </c>
      <c r="C252" s="13648" t="s">
        <v>2667</v>
      </c>
      <c r="D252" s="13648" t="s">
        <v>2668</v>
      </c>
      <c r="E252" s="13648" t="s">
        <v>2669</v>
      </c>
      <c r="F252" s="13648" t="s">
        <v>2670</v>
      </c>
      <c r="G252" s="13648" t="s">
        <v>28</v>
      </c>
      <c r="H252" s="13648" t="s">
        <v>28</v>
      </c>
      <c r="I252" s="13648" t="s">
        <v>986</v>
      </c>
    </row>
    <row customHeight="1" ht="11.25">
      <c r="A253" s="13648" t="s">
        <v>2383</v>
      </c>
      <c r="B253" s="13648" t="s">
        <v>16</v>
      </c>
      <c r="C253" s="13648" t="s">
        <v>2384</v>
      </c>
      <c r="D253" s="13648" t="s">
        <v>2385</v>
      </c>
      <c r="E253" s="13648" t="s">
        <v>2386</v>
      </c>
      <c r="F253" s="13648" t="s">
        <v>2387</v>
      </c>
      <c r="G253" s="13648" t="s">
        <v>28</v>
      </c>
      <c r="H253" s="13648" t="s">
        <v>28</v>
      </c>
      <c r="I253" s="13648" t="s">
        <v>1039</v>
      </c>
    </row>
    <row customHeight="1" ht="11.25">
      <c r="A254" s="13648" t="s">
        <v>2383</v>
      </c>
      <c r="B254" s="13648" t="s">
        <v>16</v>
      </c>
      <c r="C254" s="13648" t="s">
        <v>2986</v>
      </c>
      <c r="D254" s="13648" t="s">
        <v>2987</v>
      </c>
      <c r="E254" s="13648" t="s">
        <v>2988</v>
      </c>
      <c r="F254" s="13648" t="s">
        <v>2471</v>
      </c>
      <c r="G254" s="13648" t="s">
        <v>2989</v>
      </c>
      <c r="H254" s="13648" t="s">
        <v>28</v>
      </c>
      <c r="I254" s="13648" t="s">
        <v>1039</v>
      </c>
    </row>
    <row customHeight="1" ht="11.25">
      <c r="A255" s="13648" t="s">
        <v>2383</v>
      </c>
      <c r="B255" s="13648" t="s">
        <v>16</v>
      </c>
      <c r="C255" s="13648" t="s">
        <v>2990</v>
      </c>
      <c r="D255" s="13648" t="s">
        <v>2991</v>
      </c>
      <c r="E255" s="13648" t="s">
        <v>2992</v>
      </c>
      <c r="F255" s="13648" t="s">
        <v>2424</v>
      </c>
      <c r="G255" s="13648" t="s">
        <v>28</v>
      </c>
      <c r="H255" s="13648" t="s">
        <v>28</v>
      </c>
      <c r="I255" s="13648" t="s">
        <v>1039</v>
      </c>
    </row>
    <row customHeight="1" ht="11.25">
      <c r="A256" s="13648" t="s">
        <v>2383</v>
      </c>
      <c r="B256" s="13648" t="s">
        <v>16</v>
      </c>
      <c r="C256" s="13648" t="s">
        <v>2993</v>
      </c>
      <c r="D256" s="13648" t="s">
        <v>2994</v>
      </c>
      <c r="E256" s="13648" t="s">
        <v>2995</v>
      </c>
      <c r="F256" s="13648" t="s">
        <v>2462</v>
      </c>
      <c r="G256" s="13648" t="s">
        <v>28</v>
      </c>
      <c r="H256" s="13648" t="s">
        <v>28</v>
      </c>
      <c r="I256" s="13648" t="s">
        <v>1039</v>
      </c>
    </row>
    <row customHeight="1" ht="11.25">
      <c r="A257" s="13648" t="s">
        <v>2383</v>
      </c>
      <c r="B257" s="13648" t="s">
        <v>16</v>
      </c>
      <c r="C257" s="13648" t="s">
        <v>2714</v>
      </c>
      <c r="D257" s="13648" t="s">
        <v>2715</v>
      </c>
      <c r="E257" s="13648" t="s">
        <v>2716</v>
      </c>
      <c r="F257" s="13648" t="s">
        <v>2576</v>
      </c>
      <c r="G257" s="13648" t="s">
        <v>28</v>
      </c>
      <c r="H257" s="13648" t="s">
        <v>2717</v>
      </c>
      <c r="I257" s="13648" t="s">
        <v>1039</v>
      </c>
    </row>
    <row customHeight="1" ht="11.25">
      <c r="A258" s="13648" t="s">
        <v>2383</v>
      </c>
      <c r="B258" s="13648" t="s">
        <v>16</v>
      </c>
      <c r="C258" s="13648" t="s">
        <v>2401</v>
      </c>
      <c r="D258" s="13648" t="s">
        <v>2402</v>
      </c>
      <c r="E258" s="13648" t="s">
        <v>2399</v>
      </c>
      <c r="F258" s="13648" t="s">
        <v>2403</v>
      </c>
      <c r="G258" s="13648" t="s">
        <v>28</v>
      </c>
      <c r="H258" s="13648" t="s">
        <v>28</v>
      </c>
      <c r="I258" s="13648" t="s">
        <v>1039</v>
      </c>
    </row>
    <row customHeight="1" ht="11.25">
      <c r="A259" s="13648" t="s">
        <v>2383</v>
      </c>
      <c r="B259" s="13648" t="s">
        <v>16</v>
      </c>
      <c r="C259" s="13648" t="s">
        <v>2404</v>
      </c>
      <c r="D259" s="13648" t="s">
        <v>2405</v>
      </c>
      <c r="E259" s="13648" t="s">
        <v>2406</v>
      </c>
      <c r="F259" s="13648" t="s">
        <v>2407</v>
      </c>
      <c r="G259" s="13648" t="s">
        <v>28</v>
      </c>
      <c r="H259" s="13648" t="s">
        <v>28</v>
      </c>
      <c r="I259" s="13648" t="s">
        <v>1039</v>
      </c>
    </row>
    <row customHeight="1" ht="11.25">
      <c r="A260" s="13648" t="s">
        <v>2383</v>
      </c>
      <c r="B260" s="13648" t="s">
        <v>16</v>
      </c>
      <c r="C260" s="13648" t="s">
        <v>2408</v>
      </c>
      <c r="D260" s="13648" t="s">
        <v>2409</v>
      </c>
      <c r="E260" s="13648" t="s">
        <v>2410</v>
      </c>
      <c r="F260" s="13648" t="s">
        <v>2395</v>
      </c>
      <c r="G260" s="13648" t="s">
        <v>2411</v>
      </c>
      <c r="H260" s="13648" t="s">
        <v>28</v>
      </c>
      <c r="I260" s="13648" t="s">
        <v>1039</v>
      </c>
    </row>
    <row customHeight="1" ht="11.25">
      <c r="A261" s="13648" t="s">
        <v>2383</v>
      </c>
      <c r="B261" s="13648" t="s">
        <v>16</v>
      </c>
      <c r="C261" s="13648" t="s">
        <v>2722</v>
      </c>
      <c r="D261" s="13648" t="s">
        <v>2723</v>
      </c>
      <c r="E261" s="13648" t="s">
        <v>2724</v>
      </c>
      <c r="F261" s="13648" t="s">
        <v>2395</v>
      </c>
      <c r="G261" s="13648" t="s">
        <v>28</v>
      </c>
      <c r="H261" s="13648" t="s">
        <v>28</v>
      </c>
      <c r="I261" s="13648" t="s">
        <v>1039</v>
      </c>
    </row>
    <row customHeight="1" ht="11.25">
      <c r="A262" s="13648" t="s">
        <v>2383</v>
      </c>
      <c r="B262" s="13648" t="s">
        <v>16</v>
      </c>
      <c r="C262" s="13648" t="s">
        <v>2412</v>
      </c>
      <c r="D262" s="13648" t="s">
        <v>2413</v>
      </c>
      <c r="E262" s="13648" t="s">
        <v>2414</v>
      </c>
      <c r="F262" s="13648" t="s">
        <v>2415</v>
      </c>
      <c r="G262" s="13648" t="s">
        <v>2416</v>
      </c>
      <c r="H262" s="13648" t="s">
        <v>28</v>
      </c>
      <c r="I262" s="13648" t="s">
        <v>1039</v>
      </c>
    </row>
    <row customHeight="1" ht="11.25">
      <c r="A263" s="13648" t="s">
        <v>2383</v>
      </c>
      <c r="B263" s="13648" t="s">
        <v>16</v>
      </c>
      <c r="C263" s="13648" t="s">
        <v>2421</v>
      </c>
      <c r="D263" s="13648" t="s">
        <v>2422</v>
      </c>
      <c r="E263" s="13648" t="s">
        <v>2423</v>
      </c>
      <c r="F263" s="13648" t="s">
        <v>2424</v>
      </c>
      <c r="G263" s="13648" t="s">
        <v>28</v>
      </c>
      <c r="H263" s="13648" t="s">
        <v>28</v>
      </c>
      <c r="I263" s="13648" t="s">
        <v>1039</v>
      </c>
    </row>
    <row customHeight="1" ht="11.25">
      <c r="A264" s="13648" t="s">
        <v>2383</v>
      </c>
      <c r="B264" s="13648" t="s">
        <v>16</v>
      </c>
      <c r="C264" s="13648" t="s">
        <v>2725</v>
      </c>
      <c r="D264" s="13648" t="s">
        <v>2726</v>
      </c>
      <c r="E264" s="13648" t="s">
        <v>2727</v>
      </c>
      <c r="F264" s="13648" t="s">
        <v>2505</v>
      </c>
      <c r="G264" s="13648" t="s">
        <v>28</v>
      </c>
      <c r="H264" s="13648" t="s">
        <v>28</v>
      </c>
      <c r="I264" s="13648" t="s">
        <v>1039</v>
      </c>
    </row>
    <row customHeight="1" ht="11.25">
      <c r="A265" s="13648" t="s">
        <v>2383</v>
      </c>
      <c r="B265" s="13648" t="s">
        <v>16</v>
      </c>
      <c r="C265" s="13648" t="s">
        <v>2996</v>
      </c>
      <c r="D265" s="13648" t="s">
        <v>2997</v>
      </c>
      <c r="E265" s="13648" t="s">
        <v>2998</v>
      </c>
      <c r="F265" s="13648" t="s">
        <v>2478</v>
      </c>
      <c r="G265" s="13648" t="s">
        <v>28</v>
      </c>
      <c r="H265" s="13648" t="s">
        <v>28</v>
      </c>
      <c r="I265" s="13648" t="s">
        <v>1039</v>
      </c>
    </row>
    <row customHeight="1" ht="11.25">
      <c r="A266" s="13648" t="s">
        <v>2383</v>
      </c>
      <c r="B266" s="13648" t="s">
        <v>16</v>
      </c>
      <c r="C266" s="13648" t="s">
        <v>2439</v>
      </c>
      <c r="D266" s="13648" t="s">
        <v>2440</v>
      </c>
      <c r="E266" s="13648" t="s">
        <v>2437</v>
      </c>
      <c r="F266" s="13648" t="s">
        <v>2441</v>
      </c>
      <c r="G266" s="13648" t="s">
        <v>28</v>
      </c>
      <c r="H266" s="13648" t="s">
        <v>28</v>
      </c>
      <c r="I266" s="13648" t="s">
        <v>1039</v>
      </c>
    </row>
    <row customHeight="1" ht="11.25">
      <c r="A267" s="13648" t="s">
        <v>2383</v>
      </c>
      <c r="B267" s="13648" t="s">
        <v>16</v>
      </c>
      <c r="C267" s="13648" t="s">
        <v>2999</v>
      </c>
      <c r="D267" s="13648" t="s">
        <v>3000</v>
      </c>
      <c r="E267" s="13648" t="s">
        <v>3001</v>
      </c>
      <c r="F267" s="13648" t="s">
        <v>3002</v>
      </c>
      <c r="G267" s="13648" t="s">
        <v>28</v>
      </c>
      <c r="H267" s="13648" t="s">
        <v>28</v>
      </c>
      <c r="I267" s="13648" t="s">
        <v>1039</v>
      </c>
    </row>
    <row customHeight="1" ht="11.25">
      <c r="A268" s="13648" t="s">
        <v>2383</v>
      </c>
      <c r="B268" s="13648" t="s">
        <v>16</v>
      </c>
      <c r="C268" s="13648" t="s">
        <v>2445</v>
      </c>
      <c r="D268" s="13648" t="s">
        <v>2446</v>
      </c>
      <c r="E268" s="13648" t="s">
        <v>2447</v>
      </c>
      <c r="F268" s="13648" t="s">
        <v>708</v>
      </c>
      <c r="G268" s="13648" t="s">
        <v>28</v>
      </c>
      <c r="H268" s="13648" t="s">
        <v>28</v>
      </c>
      <c r="I268" s="13648" t="s">
        <v>1039</v>
      </c>
    </row>
    <row customHeight="1" ht="11.25">
      <c r="A269" s="13648" t="s">
        <v>2383</v>
      </c>
      <c r="B269" s="13648" t="s">
        <v>16</v>
      </c>
      <c r="C269" s="13648" t="s">
        <v>3003</v>
      </c>
      <c r="D269" s="13648" t="s">
        <v>3004</v>
      </c>
      <c r="E269" s="13648" t="s">
        <v>3005</v>
      </c>
      <c r="F269" s="13648" t="s">
        <v>708</v>
      </c>
      <c r="G269" s="13648" t="s">
        <v>28</v>
      </c>
      <c r="H269" s="13648" t="s">
        <v>28</v>
      </c>
      <c r="I269" s="13648" t="s">
        <v>1039</v>
      </c>
    </row>
    <row customHeight="1" ht="11.25">
      <c r="A270" s="13648" t="s">
        <v>2383</v>
      </c>
      <c r="B270" s="13648" t="s">
        <v>16</v>
      </c>
      <c r="C270" s="13648" t="s">
        <v>28</v>
      </c>
      <c r="D270" s="13648" t="s">
        <v>2448</v>
      </c>
      <c r="E270" s="13648" t="s">
        <v>2449</v>
      </c>
      <c r="F270" s="13648" t="s">
        <v>2395</v>
      </c>
      <c r="G270" s="13648" t="s">
        <v>28</v>
      </c>
      <c r="H270" s="13648" t="s">
        <v>28</v>
      </c>
      <c r="I270" s="13648" t="s">
        <v>1039</v>
      </c>
    </row>
    <row customHeight="1" ht="11.25">
      <c r="A271" s="13648" t="s">
        <v>2383</v>
      </c>
      <c r="B271" s="13648" t="s">
        <v>16</v>
      </c>
      <c r="C271" s="13648" t="s">
        <v>2779</v>
      </c>
      <c r="D271" s="13648" t="s">
        <v>2780</v>
      </c>
      <c r="E271" s="13648" t="s">
        <v>2781</v>
      </c>
      <c r="F271" s="13648" t="s">
        <v>2580</v>
      </c>
      <c r="G271" s="13648" t="s">
        <v>2684</v>
      </c>
      <c r="H271" s="13648" t="s">
        <v>28</v>
      </c>
      <c r="I271" s="13648" t="s">
        <v>1039</v>
      </c>
    </row>
    <row customHeight="1" ht="11.25">
      <c r="A272" s="13648" t="s">
        <v>2383</v>
      </c>
      <c r="B272" s="13648" t="s">
        <v>16</v>
      </c>
      <c r="C272" s="13648" t="s">
        <v>2785</v>
      </c>
      <c r="D272" s="13648" t="s">
        <v>2786</v>
      </c>
      <c r="E272" s="13648" t="s">
        <v>2787</v>
      </c>
      <c r="F272" s="13648" t="s">
        <v>2788</v>
      </c>
      <c r="G272" s="13648" t="s">
        <v>28</v>
      </c>
      <c r="H272" s="13648" t="s">
        <v>28</v>
      </c>
      <c r="I272" s="13648" t="s">
        <v>1039</v>
      </c>
    </row>
    <row customHeight="1" ht="11.25">
      <c r="A273" s="13648" t="s">
        <v>2383</v>
      </c>
      <c r="B273" s="13648" t="s">
        <v>16</v>
      </c>
      <c r="C273" s="13648" t="s">
        <v>2792</v>
      </c>
      <c r="D273" s="13648" t="s">
        <v>2793</v>
      </c>
      <c r="E273" s="13648" t="s">
        <v>2794</v>
      </c>
      <c r="F273" s="13648" t="s">
        <v>2457</v>
      </c>
      <c r="G273" s="13648" t="s">
        <v>2795</v>
      </c>
      <c r="H273" s="13648" t="s">
        <v>28</v>
      </c>
      <c r="I273" s="13648" t="s">
        <v>1039</v>
      </c>
    </row>
    <row customHeight="1" ht="11.25">
      <c r="A274" s="13648" t="s">
        <v>2383</v>
      </c>
      <c r="B274" s="13648" t="s">
        <v>16</v>
      </c>
      <c r="C274" s="13648" t="s">
        <v>2796</v>
      </c>
      <c r="D274" s="13648" t="s">
        <v>2797</v>
      </c>
      <c r="E274" s="13648" t="s">
        <v>2798</v>
      </c>
      <c r="F274" s="13648" t="s">
        <v>2761</v>
      </c>
      <c r="G274" s="13648" t="s">
        <v>2799</v>
      </c>
      <c r="H274" s="13648" t="s">
        <v>28</v>
      </c>
      <c r="I274" s="13648" t="s">
        <v>1039</v>
      </c>
    </row>
    <row customHeight="1" ht="11.25">
      <c r="A275" s="13648" t="s">
        <v>2383</v>
      </c>
      <c r="B275" s="13648" t="s">
        <v>16</v>
      </c>
      <c r="C275" s="13648" t="s">
        <v>2806</v>
      </c>
      <c r="D275" s="13648" t="s">
        <v>2807</v>
      </c>
      <c r="E275" s="13648" t="s">
        <v>2808</v>
      </c>
      <c r="F275" s="13648" t="s">
        <v>2580</v>
      </c>
      <c r="G275" s="13648" t="s">
        <v>28</v>
      </c>
      <c r="H275" s="13648" t="s">
        <v>28</v>
      </c>
      <c r="I275" s="13648" t="s">
        <v>1039</v>
      </c>
    </row>
    <row customHeight="1" ht="11.25">
      <c r="A276" s="13648" t="s">
        <v>2383</v>
      </c>
      <c r="B276" s="13648" t="s">
        <v>16</v>
      </c>
      <c r="C276" s="13648" t="s">
        <v>2809</v>
      </c>
      <c r="D276" s="13648" t="s">
        <v>2810</v>
      </c>
      <c r="E276" s="13648" t="s">
        <v>2811</v>
      </c>
      <c r="F276" s="13648" t="s">
        <v>2505</v>
      </c>
      <c r="G276" s="13648" t="s">
        <v>28</v>
      </c>
      <c r="H276" s="13648" t="s">
        <v>28</v>
      </c>
      <c r="I276" s="13648" t="s">
        <v>1039</v>
      </c>
    </row>
    <row customHeight="1" ht="11.25">
      <c r="A277" s="13648" t="s">
        <v>2383</v>
      </c>
      <c r="B277" s="13648" t="s">
        <v>16</v>
      </c>
      <c r="C277" s="13648" t="s">
        <v>2812</v>
      </c>
      <c r="D277" s="13648" t="s">
        <v>2813</v>
      </c>
      <c r="E277" s="13648" t="s">
        <v>2814</v>
      </c>
      <c r="F277" s="13648" t="s">
        <v>2815</v>
      </c>
      <c r="G277" s="13648" t="s">
        <v>28</v>
      </c>
      <c r="H277" s="13648" t="s">
        <v>28</v>
      </c>
      <c r="I277" s="13648" t="s">
        <v>1039</v>
      </c>
    </row>
    <row customHeight="1" ht="11.25">
      <c r="A278" s="13648" t="s">
        <v>2383</v>
      </c>
      <c r="B278" s="13648" t="s">
        <v>16</v>
      </c>
      <c r="C278" s="13648" t="s">
        <v>2816</v>
      </c>
      <c r="D278" s="13648" t="s">
        <v>2817</v>
      </c>
      <c r="E278" s="13648" t="s">
        <v>2818</v>
      </c>
      <c r="F278" s="13648" t="s">
        <v>2478</v>
      </c>
      <c r="G278" s="13648" t="s">
        <v>28</v>
      </c>
      <c r="H278" s="13648" t="s">
        <v>28</v>
      </c>
      <c r="I278" s="13648" t="s">
        <v>1039</v>
      </c>
    </row>
    <row customHeight="1" ht="11.25">
      <c r="A279" s="13648" t="s">
        <v>2383</v>
      </c>
      <c r="B279" s="13648" t="s">
        <v>16</v>
      </c>
      <c r="C279" s="13648" t="s">
        <v>2468</v>
      </c>
      <c r="D279" s="13648" t="s">
        <v>2469</v>
      </c>
      <c r="E279" s="13648" t="s">
        <v>2470</v>
      </c>
      <c r="F279" s="13648" t="s">
        <v>2471</v>
      </c>
      <c r="G279" s="13648" t="s">
        <v>28</v>
      </c>
      <c r="H279" s="13648" t="s">
        <v>28</v>
      </c>
      <c r="I279" s="13648" t="s">
        <v>1039</v>
      </c>
    </row>
    <row customHeight="1" ht="11.25">
      <c r="A280" s="13648" t="s">
        <v>2383</v>
      </c>
      <c r="B280" s="13648" t="s">
        <v>16</v>
      </c>
      <c r="C280" s="13648" t="s">
        <v>2819</v>
      </c>
      <c r="D280" s="13648" t="s">
        <v>2820</v>
      </c>
      <c r="E280" s="13648" t="s">
        <v>2821</v>
      </c>
      <c r="F280" s="13648" t="s">
        <v>2471</v>
      </c>
      <c r="G280" s="13648" t="s">
        <v>28</v>
      </c>
      <c r="H280" s="13648" t="s">
        <v>2822</v>
      </c>
      <c r="I280" s="13648" t="s">
        <v>1039</v>
      </c>
    </row>
    <row customHeight="1" ht="11.25">
      <c r="A281" s="13648" t="s">
        <v>2383</v>
      </c>
      <c r="B281" s="13648" t="s">
        <v>16</v>
      </c>
      <c r="C281" s="13648" t="s">
        <v>2826</v>
      </c>
      <c r="D281" s="13648" t="s">
        <v>2827</v>
      </c>
      <c r="E281" s="13648" t="s">
        <v>2828</v>
      </c>
      <c r="F281" s="13648" t="s">
        <v>2478</v>
      </c>
      <c r="G281" s="13648" t="s">
        <v>28</v>
      </c>
      <c r="H281" s="13648" t="s">
        <v>2829</v>
      </c>
      <c r="I281" s="13648" t="s">
        <v>1039</v>
      </c>
    </row>
    <row customHeight="1" ht="11.25">
      <c r="A282" s="13648" t="s">
        <v>2383</v>
      </c>
      <c r="B282" s="13648" t="s">
        <v>16</v>
      </c>
      <c r="C282" s="13648" t="s">
        <v>2830</v>
      </c>
      <c r="D282" s="13648" t="s">
        <v>2831</v>
      </c>
      <c r="E282" s="13648" t="s">
        <v>2832</v>
      </c>
      <c r="F282" s="13648" t="s">
        <v>2641</v>
      </c>
      <c r="G282" s="13648" t="s">
        <v>2833</v>
      </c>
      <c r="H282" s="13648" t="s">
        <v>28</v>
      </c>
      <c r="I282" s="13648" t="s">
        <v>1039</v>
      </c>
    </row>
    <row customHeight="1" ht="11.25">
      <c r="A283" s="13648" t="s">
        <v>2383</v>
      </c>
      <c r="B283" s="13648" t="s">
        <v>16</v>
      </c>
      <c r="C283" s="13648" t="s">
        <v>2834</v>
      </c>
      <c r="D283" s="13648" t="s">
        <v>2835</v>
      </c>
      <c r="E283" s="13648" t="s">
        <v>2836</v>
      </c>
      <c r="F283" s="13648" t="s">
        <v>2645</v>
      </c>
      <c r="G283" s="13648" t="s">
        <v>2837</v>
      </c>
      <c r="H283" s="13648" t="s">
        <v>28</v>
      </c>
      <c r="I283" s="13648" t="s">
        <v>1039</v>
      </c>
    </row>
    <row customHeight="1" ht="11.25">
      <c r="A284" s="13648" t="s">
        <v>2383</v>
      </c>
      <c r="B284" s="13648" t="s">
        <v>16</v>
      </c>
      <c r="C284" s="13648" t="s">
        <v>2479</v>
      </c>
      <c r="D284" s="13648" t="s">
        <v>2480</v>
      </c>
      <c r="E284" s="13648" t="s">
        <v>2481</v>
      </c>
      <c r="F284" s="13648" t="s">
        <v>2471</v>
      </c>
      <c r="G284" s="13648" t="s">
        <v>28</v>
      </c>
      <c r="H284" s="13648" t="s">
        <v>28</v>
      </c>
      <c r="I284" s="13648" t="s">
        <v>1039</v>
      </c>
    </row>
    <row customHeight="1" ht="11.25">
      <c r="A285" s="13648" t="s">
        <v>2383</v>
      </c>
      <c r="B285" s="13648" t="s">
        <v>16</v>
      </c>
      <c r="C285" s="13648" t="s">
        <v>2838</v>
      </c>
      <c r="D285" s="13648" t="s">
        <v>2839</v>
      </c>
      <c r="E285" s="13648" t="s">
        <v>2840</v>
      </c>
      <c r="F285" s="13648" t="s">
        <v>2491</v>
      </c>
      <c r="G285" s="13648" t="s">
        <v>28</v>
      </c>
      <c r="H285" s="13648" t="s">
        <v>28</v>
      </c>
      <c r="I285" s="13648" t="s">
        <v>1039</v>
      </c>
    </row>
    <row customHeight="1" ht="11.25">
      <c r="A286" s="13648" t="s">
        <v>2383</v>
      </c>
      <c r="B286" s="13648" t="s">
        <v>16</v>
      </c>
      <c r="C286" s="13648" t="s">
        <v>2841</v>
      </c>
      <c r="D286" s="13648" t="s">
        <v>2842</v>
      </c>
      <c r="E286" s="13648" t="s">
        <v>2843</v>
      </c>
      <c r="F286" s="13648" t="s">
        <v>2580</v>
      </c>
      <c r="G286" s="13648" t="s">
        <v>2844</v>
      </c>
      <c r="H286" s="13648" t="s">
        <v>28</v>
      </c>
      <c r="I286" s="13648" t="s">
        <v>1039</v>
      </c>
    </row>
    <row customHeight="1" ht="11.25">
      <c r="A287" s="13648" t="s">
        <v>2383</v>
      </c>
      <c r="B287" s="13648" t="s">
        <v>16</v>
      </c>
      <c r="C287" s="13648" t="s">
        <v>2845</v>
      </c>
      <c r="D287" s="13648" t="s">
        <v>2846</v>
      </c>
      <c r="E287" s="13648" t="s">
        <v>2847</v>
      </c>
      <c r="F287" s="13648" t="s">
        <v>2471</v>
      </c>
      <c r="G287" s="13648" t="s">
        <v>2848</v>
      </c>
      <c r="H287" s="13648" t="s">
        <v>28</v>
      </c>
      <c r="I287" s="13648" t="s">
        <v>1039</v>
      </c>
    </row>
    <row customHeight="1" ht="11.25">
      <c r="A288" s="13648" t="s">
        <v>2383</v>
      </c>
      <c r="B288" s="13648" t="s">
        <v>16</v>
      </c>
      <c r="C288" s="13648" t="s">
        <v>2849</v>
      </c>
      <c r="D288" s="13648" t="s">
        <v>2850</v>
      </c>
      <c r="E288" s="13648" t="s">
        <v>2851</v>
      </c>
      <c r="F288" s="13648" t="s">
        <v>2395</v>
      </c>
      <c r="G288" s="13648" t="s">
        <v>28</v>
      </c>
      <c r="H288" s="13648" t="s">
        <v>28</v>
      </c>
      <c r="I288" s="13648" t="s">
        <v>1039</v>
      </c>
    </row>
    <row customHeight="1" ht="11.25">
      <c r="A289" s="13648" t="s">
        <v>2383</v>
      </c>
      <c r="B289" s="13648" t="s">
        <v>16</v>
      </c>
      <c r="C289" s="13648" t="s">
        <v>2852</v>
      </c>
      <c r="D289" s="13648" t="s">
        <v>2853</v>
      </c>
      <c r="E289" s="13648" t="s">
        <v>2854</v>
      </c>
      <c r="F289" s="13648" t="s">
        <v>2471</v>
      </c>
      <c r="G289" s="13648" t="s">
        <v>28</v>
      </c>
      <c r="H289" s="13648" t="s">
        <v>28</v>
      </c>
      <c r="I289" s="13648" t="s">
        <v>1039</v>
      </c>
    </row>
    <row customHeight="1" ht="11.25">
      <c r="A290" s="13648" t="s">
        <v>2383</v>
      </c>
      <c r="B290" s="13648" t="s">
        <v>16</v>
      </c>
      <c r="C290" s="13648" t="s">
        <v>2482</v>
      </c>
      <c r="D290" s="13648" t="s">
        <v>2483</v>
      </c>
      <c r="E290" s="13648" t="s">
        <v>2484</v>
      </c>
      <c r="F290" s="13648" t="s">
        <v>2462</v>
      </c>
      <c r="G290" s="13648" t="s">
        <v>28</v>
      </c>
      <c r="H290" s="13648" t="s">
        <v>28</v>
      </c>
      <c r="I290" s="13648" t="s">
        <v>1039</v>
      </c>
    </row>
    <row customHeight="1" ht="11.25">
      <c r="A291" s="13648" t="s">
        <v>2383</v>
      </c>
      <c r="B291" s="13648" t="s">
        <v>16</v>
      </c>
      <c r="C291" s="13648" t="s">
        <v>2855</v>
      </c>
      <c r="D291" s="13648" t="s">
        <v>2856</v>
      </c>
      <c r="E291" s="13648" t="s">
        <v>2857</v>
      </c>
      <c r="F291" s="13648" t="s">
        <v>2424</v>
      </c>
      <c r="G291" s="13648" t="s">
        <v>28</v>
      </c>
      <c r="H291" s="13648" t="s">
        <v>28</v>
      </c>
      <c r="I291" s="13648" t="s">
        <v>1039</v>
      </c>
    </row>
    <row customHeight="1" ht="11.25">
      <c r="A292" s="13648" t="s">
        <v>2383</v>
      </c>
      <c r="B292" s="13648" t="s">
        <v>16</v>
      </c>
      <c r="C292" s="13648" t="s">
        <v>2858</v>
      </c>
      <c r="D292" s="13648" t="s">
        <v>2859</v>
      </c>
      <c r="E292" s="13648" t="s">
        <v>2860</v>
      </c>
      <c r="F292" s="13648" t="s">
        <v>2478</v>
      </c>
      <c r="G292" s="13648" t="s">
        <v>28</v>
      </c>
      <c r="H292" s="13648" t="s">
        <v>28</v>
      </c>
      <c r="I292" s="13648" t="s">
        <v>1039</v>
      </c>
    </row>
    <row customHeight="1" ht="11.25">
      <c r="A293" s="13648" t="s">
        <v>2383</v>
      </c>
      <c r="B293" s="13648" t="s">
        <v>16</v>
      </c>
      <c r="C293" s="13648" t="s">
        <v>2485</v>
      </c>
      <c r="D293" s="13648" t="s">
        <v>2486</v>
      </c>
      <c r="E293" s="13648" t="s">
        <v>2487</v>
      </c>
      <c r="F293" s="13648" t="s">
        <v>2478</v>
      </c>
      <c r="G293" s="13648" t="s">
        <v>28</v>
      </c>
      <c r="H293" s="13648" t="s">
        <v>28</v>
      </c>
      <c r="I293" s="13648" t="s">
        <v>1039</v>
      </c>
    </row>
    <row customHeight="1" ht="11.25">
      <c r="A294" s="13648" t="s">
        <v>2383</v>
      </c>
      <c r="B294" s="13648" t="s">
        <v>16</v>
      </c>
      <c r="C294" s="13648" t="s">
        <v>2498</v>
      </c>
      <c r="D294" s="13648" t="s">
        <v>2499</v>
      </c>
      <c r="E294" s="13648" t="s">
        <v>2500</v>
      </c>
      <c r="F294" s="13648" t="s">
        <v>2491</v>
      </c>
      <c r="G294" s="13648" t="s">
        <v>2501</v>
      </c>
      <c r="H294" s="13648" t="s">
        <v>28</v>
      </c>
      <c r="I294" s="13648" t="s">
        <v>1039</v>
      </c>
    </row>
    <row customHeight="1" ht="11.25">
      <c r="A295" s="13648" t="s">
        <v>2383</v>
      </c>
      <c r="B295" s="13648" t="s">
        <v>16</v>
      </c>
      <c r="C295" s="13648" t="s">
        <v>2872</v>
      </c>
      <c r="D295" s="13648" t="s">
        <v>2873</v>
      </c>
      <c r="E295" s="13648" t="s">
        <v>2874</v>
      </c>
      <c r="F295" s="13648" t="s">
        <v>2505</v>
      </c>
      <c r="G295" s="13648" t="s">
        <v>28</v>
      </c>
      <c r="H295" s="13648" t="s">
        <v>28</v>
      </c>
      <c r="I295" s="13648" t="s">
        <v>1039</v>
      </c>
    </row>
    <row customHeight="1" ht="11.25">
      <c r="A296" s="13648" t="s">
        <v>2383</v>
      </c>
      <c r="B296" s="13648" t="s">
        <v>16</v>
      </c>
      <c r="C296" s="13648" t="s">
        <v>13</v>
      </c>
      <c r="D296" s="13648" t="s">
        <v>51</v>
      </c>
      <c r="E296" s="13648" t="s">
        <v>54</v>
      </c>
      <c r="F296" s="13648" t="s">
        <v>56</v>
      </c>
      <c r="G296" s="13648" t="s">
        <v>28</v>
      </c>
      <c r="H296" s="13648" t="s">
        <v>28</v>
      </c>
      <c r="I296" s="13648" t="s">
        <v>1039</v>
      </c>
    </row>
    <row customHeight="1" ht="11.25">
      <c r="A297" s="13648" t="s">
        <v>2383</v>
      </c>
      <c r="B297" s="13648" t="s">
        <v>16</v>
      </c>
      <c r="C297" s="13648" t="s">
        <v>2882</v>
      </c>
      <c r="D297" s="13648" t="s">
        <v>2883</v>
      </c>
      <c r="E297" s="13648" t="s">
        <v>2884</v>
      </c>
      <c r="F297" s="13648" t="s">
        <v>2617</v>
      </c>
      <c r="G297" s="13648" t="s">
        <v>28</v>
      </c>
      <c r="H297" s="13648" t="s">
        <v>28</v>
      </c>
      <c r="I297" s="13648" t="s">
        <v>1039</v>
      </c>
    </row>
    <row customHeight="1" ht="11.25">
      <c r="A298" s="13648" t="s">
        <v>2383</v>
      </c>
      <c r="B298" s="13648" t="s">
        <v>16</v>
      </c>
      <c r="C298" s="13648" t="s">
        <v>2894</v>
      </c>
      <c r="D298" s="13648" t="s">
        <v>2895</v>
      </c>
      <c r="E298" s="13648" t="s">
        <v>2896</v>
      </c>
      <c r="F298" s="13648" t="s">
        <v>2505</v>
      </c>
      <c r="G298" s="13648" t="s">
        <v>28</v>
      </c>
      <c r="H298" s="13648" t="s">
        <v>28</v>
      </c>
      <c r="I298" s="13648" t="s">
        <v>1039</v>
      </c>
    </row>
    <row customHeight="1" ht="11.25">
      <c r="A299" s="13648" t="s">
        <v>2383</v>
      </c>
      <c r="B299" s="13648" t="s">
        <v>16</v>
      </c>
      <c r="C299" s="13648" t="s">
        <v>2897</v>
      </c>
      <c r="D299" s="13648" t="s">
        <v>2898</v>
      </c>
      <c r="E299" s="13648" t="s">
        <v>2899</v>
      </c>
      <c r="F299" s="13648" t="s">
        <v>2496</v>
      </c>
      <c r="G299" s="13648" t="s">
        <v>2900</v>
      </c>
      <c r="H299" s="13648" t="s">
        <v>28</v>
      </c>
      <c r="I299" s="13648" t="s">
        <v>1039</v>
      </c>
    </row>
    <row customHeight="1" ht="11.25">
      <c r="A300" s="13648" t="s">
        <v>2383</v>
      </c>
      <c r="B300" s="13648" t="s">
        <v>16</v>
      </c>
      <c r="C300" s="13648" t="s">
        <v>2901</v>
      </c>
      <c r="D300" s="13648" t="s">
        <v>2531</v>
      </c>
      <c r="E300" s="13648" t="s">
        <v>2532</v>
      </c>
      <c r="F300" s="13648" t="s">
        <v>2478</v>
      </c>
      <c r="G300" s="13648" t="s">
        <v>28</v>
      </c>
      <c r="H300" s="13648" t="s">
        <v>28</v>
      </c>
      <c r="I300" s="13648" t="s">
        <v>1039</v>
      </c>
    </row>
    <row customHeight="1" ht="11.25">
      <c r="A301" s="13648" t="s">
        <v>2383</v>
      </c>
      <c r="B301" s="13648" t="s">
        <v>16</v>
      </c>
      <c r="C301" s="13648" t="s">
        <v>2530</v>
      </c>
      <c r="D301" s="13648" t="s">
        <v>2531</v>
      </c>
      <c r="E301" s="13648" t="s">
        <v>2532</v>
      </c>
      <c r="F301" s="13648" t="s">
        <v>2533</v>
      </c>
      <c r="G301" s="13648" t="s">
        <v>28</v>
      </c>
      <c r="H301" s="13648" t="s">
        <v>28</v>
      </c>
      <c r="I301" s="13648" t="s">
        <v>1039</v>
      </c>
    </row>
    <row customHeight="1" ht="11.25">
      <c r="A302" s="13648" t="s">
        <v>2383</v>
      </c>
      <c r="B302" s="13648" t="s">
        <v>16</v>
      </c>
      <c r="C302" s="13648" t="s">
        <v>2902</v>
      </c>
      <c r="D302" s="13648" t="s">
        <v>2903</v>
      </c>
      <c r="E302" s="13648" t="s">
        <v>2904</v>
      </c>
      <c r="F302" s="13648" t="s">
        <v>2576</v>
      </c>
      <c r="G302" s="13648" t="s">
        <v>28</v>
      </c>
      <c r="H302" s="13648" t="s">
        <v>28</v>
      </c>
      <c r="I302" s="13648" t="s">
        <v>1039</v>
      </c>
    </row>
    <row customHeight="1" ht="11.25">
      <c r="A303" s="13648" t="s">
        <v>2383</v>
      </c>
      <c r="B303" s="13648" t="s">
        <v>16</v>
      </c>
      <c r="C303" s="13648" t="s">
        <v>2905</v>
      </c>
      <c r="D303" s="13648" t="s">
        <v>2906</v>
      </c>
      <c r="E303" s="13648" t="s">
        <v>2907</v>
      </c>
      <c r="F303" s="13648" t="s">
        <v>2424</v>
      </c>
      <c r="G303" s="13648" t="s">
        <v>28</v>
      </c>
      <c r="H303" s="13648" t="s">
        <v>28</v>
      </c>
      <c r="I303" s="13648" t="s">
        <v>1039</v>
      </c>
    </row>
    <row customHeight="1" ht="11.25">
      <c r="A304" s="13648" t="s">
        <v>2383</v>
      </c>
      <c r="B304" s="13648" t="s">
        <v>16</v>
      </c>
      <c r="C304" s="13648" t="s">
        <v>2908</v>
      </c>
      <c r="D304" s="13648" t="s">
        <v>2909</v>
      </c>
      <c r="E304" s="13648" t="s">
        <v>2910</v>
      </c>
      <c r="F304" s="13648" t="s">
        <v>2471</v>
      </c>
      <c r="G304" s="13648" t="s">
        <v>28</v>
      </c>
      <c r="H304" s="13648" t="s">
        <v>28</v>
      </c>
      <c r="I304" s="13648" t="s">
        <v>1039</v>
      </c>
    </row>
    <row customHeight="1" ht="11.25">
      <c r="A305" s="13648" t="s">
        <v>2383</v>
      </c>
      <c r="B305" s="13648" t="s">
        <v>16</v>
      </c>
      <c r="C305" s="13648" t="s">
        <v>2911</v>
      </c>
      <c r="D305" s="13648" t="s">
        <v>2912</v>
      </c>
      <c r="E305" s="13648" t="s">
        <v>2913</v>
      </c>
      <c r="F305" s="13648" t="s">
        <v>2815</v>
      </c>
      <c r="G305" s="13648" t="s">
        <v>28</v>
      </c>
      <c r="H305" s="13648" t="s">
        <v>28</v>
      </c>
      <c r="I305" s="13648" t="s">
        <v>1039</v>
      </c>
    </row>
    <row customHeight="1" ht="11.25">
      <c r="A306" s="13648" t="s">
        <v>2383</v>
      </c>
      <c r="B306" s="13648" t="s">
        <v>16</v>
      </c>
      <c r="C306" s="13648" t="s">
        <v>2914</v>
      </c>
      <c r="D306" s="13648" t="s">
        <v>2915</v>
      </c>
      <c r="E306" s="13648" t="s">
        <v>2916</v>
      </c>
      <c r="F306" s="13648" t="s">
        <v>2558</v>
      </c>
      <c r="G306" s="13648" t="s">
        <v>28</v>
      </c>
      <c r="H306" s="13648" t="s">
        <v>28</v>
      </c>
      <c r="I306" s="13648" t="s">
        <v>1039</v>
      </c>
    </row>
    <row customHeight="1" ht="11.25">
      <c r="A307" s="13648" t="s">
        <v>2383</v>
      </c>
      <c r="B307" s="13648" t="s">
        <v>16</v>
      </c>
      <c r="C307" s="13648" t="s">
        <v>2537</v>
      </c>
      <c r="D307" s="13648" t="s">
        <v>2538</v>
      </c>
      <c r="E307" s="13648" t="s">
        <v>2539</v>
      </c>
      <c r="F307" s="13648" t="s">
        <v>2540</v>
      </c>
      <c r="G307" s="13648" t="s">
        <v>28</v>
      </c>
      <c r="H307" s="13648" t="s">
        <v>28</v>
      </c>
      <c r="I307" s="13648" t="s">
        <v>1039</v>
      </c>
    </row>
    <row customHeight="1" ht="11.25">
      <c r="A308" s="13648" t="s">
        <v>2383</v>
      </c>
      <c r="B308" s="13648" t="s">
        <v>16</v>
      </c>
      <c r="C308" s="13648" t="s">
        <v>2917</v>
      </c>
      <c r="D308" s="13648" t="s">
        <v>2918</v>
      </c>
      <c r="E308" s="13648" t="s">
        <v>2919</v>
      </c>
      <c r="F308" s="13648" t="s">
        <v>2540</v>
      </c>
      <c r="G308" s="13648" t="s">
        <v>28</v>
      </c>
      <c r="H308" s="13648" t="s">
        <v>28</v>
      </c>
      <c r="I308" s="13648" t="s">
        <v>1039</v>
      </c>
    </row>
    <row customHeight="1" ht="11.25">
      <c r="A309" s="13648" t="s">
        <v>2383</v>
      </c>
      <c r="B309" s="13648" t="s">
        <v>16</v>
      </c>
      <c r="C309" s="13648" t="s">
        <v>2920</v>
      </c>
      <c r="D309" s="13648" t="s">
        <v>2921</v>
      </c>
      <c r="E309" s="13648" t="s">
        <v>2922</v>
      </c>
      <c r="F309" s="13648" t="s">
        <v>2645</v>
      </c>
      <c r="G309" s="13648" t="s">
        <v>28</v>
      </c>
      <c r="H309" s="13648" t="s">
        <v>28</v>
      </c>
      <c r="I309" s="13648" t="s">
        <v>1039</v>
      </c>
    </row>
    <row customHeight="1" ht="11.25">
      <c r="A310" s="13648" t="s">
        <v>2383</v>
      </c>
      <c r="B310" s="13648" t="s">
        <v>16</v>
      </c>
      <c r="C310" s="13648" t="s">
        <v>2930</v>
      </c>
      <c r="D310" s="13648" t="s">
        <v>2931</v>
      </c>
      <c r="E310" s="13648" t="s">
        <v>2932</v>
      </c>
      <c r="F310" s="13648" t="s">
        <v>2933</v>
      </c>
      <c r="G310" s="13648" t="s">
        <v>28</v>
      </c>
      <c r="H310" s="13648" t="s">
        <v>28</v>
      </c>
      <c r="I310" s="13648" t="s">
        <v>1039</v>
      </c>
    </row>
    <row customHeight="1" ht="11.25">
      <c r="A311" s="13648" t="s">
        <v>2383</v>
      </c>
      <c r="B311" s="13648" t="s">
        <v>16</v>
      </c>
      <c r="C311" s="13648" t="s">
        <v>2559</v>
      </c>
      <c r="D311" s="13648" t="s">
        <v>2560</v>
      </c>
      <c r="E311" s="13648" t="s">
        <v>2561</v>
      </c>
      <c r="F311" s="13648" t="s">
        <v>2478</v>
      </c>
      <c r="G311" s="13648" t="s">
        <v>28</v>
      </c>
      <c r="H311" s="13648" t="s">
        <v>28</v>
      </c>
      <c r="I311" s="13648" t="s">
        <v>1039</v>
      </c>
    </row>
    <row customHeight="1" ht="11.25">
      <c r="A312" s="13648" t="s">
        <v>2383</v>
      </c>
      <c r="B312" s="13648" t="s">
        <v>16</v>
      </c>
      <c r="C312" s="13648" t="s">
        <v>2562</v>
      </c>
      <c r="D312" s="13648" t="s">
        <v>2563</v>
      </c>
      <c r="E312" s="13648" t="s">
        <v>2564</v>
      </c>
      <c r="F312" s="13648" t="s">
        <v>2565</v>
      </c>
      <c r="G312" s="13648" t="s">
        <v>2566</v>
      </c>
      <c r="H312" s="13648" t="s">
        <v>28</v>
      </c>
      <c r="I312" s="13648" t="s">
        <v>1039</v>
      </c>
    </row>
    <row customHeight="1" ht="11.25">
      <c r="A313" s="13648" t="s">
        <v>2383</v>
      </c>
      <c r="B313" s="13648" t="s">
        <v>16</v>
      </c>
      <c r="C313" s="13648" t="s">
        <v>2567</v>
      </c>
      <c r="D313" s="13648" t="s">
        <v>2568</v>
      </c>
      <c r="E313" s="13648" t="s">
        <v>2569</v>
      </c>
      <c r="F313" s="13648" t="s">
        <v>2395</v>
      </c>
      <c r="G313" s="13648" t="s">
        <v>28</v>
      </c>
      <c r="H313" s="13648" t="s">
        <v>28</v>
      </c>
      <c r="I313" s="13648" t="s">
        <v>1039</v>
      </c>
    </row>
    <row customHeight="1" ht="11.25">
      <c r="A314" s="13648" t="s">
        <v>2383</v>
      </c>
      <c r="B314" s="13648" t="s">
        <v>16</v>
      </c>
      <c r="C314" s="13648" t="s">
        <v>3006</v>
      </c>
      <c r="D314" s="13648" t="s">
        <v>3007</v>
      </c>
      <c r="E314" s="13648" t="s">
        <v>3008</v>
      </c>
      <c r="F314" s="13648" t="s">
        <v>2395</v>
      </c>
      <c r="G314" s="13648" t="s">
        <v>28</v>
      </c>
      <c r="H314" s="13648" t="s">
        <v>28</v>
      </c>
      <c r="I314" s="13648" t="s">
        <v>1039</v>
      </c>
    </row>
    <row customHeight="1" ht="11.25">
      <c r="A315" s="13648" t="s">
        <v>2383</v>
      </c>
      <c r="B315" s="13648" t="s">
        <v>16</v>
      </c>
      <c r="C315" s="13648" t="s">
        <v>3009</v>
      </c>
      <c r="D315" s="13648" t="s">
        <v>3010</v>
      </c>
      <c r="E315" s="13648" t="s">
        <v>3011</v>
      </c>
      <c r="F315" s="13648" t="s">
        <v>3012</v>
      </c>
      <c r="G315" s="13648" t="s">
        <v>28</v>
      </c>
      <c r="H315" s="13648" t="s">
        <v>28</v>
      </c>
      <c r="I315" s="13648" t="s">
        <v>1039</v>
      </c>
    </row>
    <row customHeight="1" ht="11.25">
      <c r="A316" s="13648" t="s">
        <v>2383</v>
      </c>
      <c r="B316" s="13648" t="s">
        <v>16</v>
      </c>
      <c r="C316" s="13648" t="s">
        <v>2586</v>
      </c>
      <c r="D316" s="13648" t="s">
        <v>2587</v>
      </c>
      <c r="E316" s="13648" t="s">
        <v>2588</v>
      </c>
      <c r="F316" s="13648" t="s">
        <v>56</v>
      </c>
      <c r="G316" s="13648" t="s">
        <v>28</v>
      </c>
      <c r="H316" s="13648" t="s">
        <v>28</v>
      </c>
      <c r="I316" s="13648" t="s">
        <v>1039</v>
      </c>
    </row>
    <row customHeight="1" ht="11.25">
      <c r="A317" s="13648" t="s">
        <v>2383</v>
      </c>
      <c r="B317" s="13648" t="s">
        <v>16</v>
      </c>
      <c r="C317" s="13648" t="s">
        <v>2589</v>
      </c>
      <c r="D317" s="13648" t="s">
        <v>2590</v>
      </c>
      <c r="E317" s="13648" t="s">
        <v>2591</v>
      </c>
      <c r="F317" s="13648" t="s">
        <v>56</v>
      </c>
      <c r="G317" s="13648" t="s">
        <v>2592</v>
      </c>
      <c r="H317" s="13648" t="s">
        <v>28</v>
      </c>
      <c r="I317" s="13648" t="s">
        <v>1039</v>
      </c>
    </row>
    <row customHeight="1" ht="11.25">
      <c r="A318" s="13648" t="s">
        <v>2383</v>
      </c>
      <c r="B318" s="13648" t="s">
        <v>16</v>
      </c>
      <c r="C318" s="13648" t="s">
        <v>2593</v>
      </c>
      <c r="D318" s="13648" t="s">
        <v>2594</v>
      </c>
      <c r="E318" s="13648" t="s">
        <v>2595</v>
      </c>
      <c r="F318" s="13648" t="s">
        <v>2596</v>
      </c>
      <c r="G318" s="13648" t="s">
        <v>28</v>
      </c>
      <c r="H318" s="13648" t="s">
        <v>28</v>
      </c>
      <c r="I318" s="13648" t="s">
        <v>1039</v>
      </c>
    </row>
    <row customHeight="1" ht="11.25">
      <c r="A319" s="13648" t="s">
        <v>2383</v>
      </c>
      <c r="B319" s="13648" t="s">
        <v>16</v>
      </c>
      <c r="C319" s="13648" t="s">
        <v>2601</v>
      </c>
      <c r="D319" s="13648" t="s">
        <v>2602</v>
      </c>
      <c r="E319" s="13648" t="s">
        <v>2603</v>
      </c>
      <c r="F319" s="13648" t="s">
        <v>2457</v>
      </c>
      <c r="G319" s="13648" t="s">
        <v>28</v>
      </c>
      <c r="H319" s="13648" t="s">
        <v>28</v>
      </c>
      <c r="I319" s="13648" t="s">
        <v>1039</v>
      </c>
    </row>
    <row customHeight="1" ht="11.25">
      <c r="A320" s="13648" t="s">
        <v>2383</v>
      </c>
      <c r="B320" s="13648" t="s">
        <v>16</v>
      </c>
      <c r="C320" s="13648" t="s">
        <v>2607</v>
      </c>
      <c r="D320" s="13648" t="s">
        <v>2608</v>
      </c>
      <c r="E320" s="13648" t="s">
        <v>2609</v>
      </c>
      <c r="F320" s="13648" t="s">
        <v>2387</v>
      </c>
      <c r="G320" s="13648" t="s">
        <v>28</v>
      </c>
      <c r="H320" s="13648" t="s">
        <v>28</v>
      </c>
      <c r="I320" s="13648" t="s">
        <v>1039</v>
      </c>
    </row>
    <row customHeight="1" ht="11.25">
      <c r="A321" s="13648" t="s">
        <v>2383</v>
      </c>
      <c r="B321" s="13648" t="s">
        <v>16</v>
      </c>
      <c r="C321" s="13648" t="s">
        <v>2943</v>
      </c>
      <c r="D321" s="13648" t="s">
        <v>2944</v>
      </c>
      <c r="E321" s="13648" t="s">
        <v>2945</v>
      </c>
      <c r="F321" s="13648" t="s">
        <v>2706</v>
      </c>
      <c r="G321" s="13648" t="s">
        <v>28</v>
      </c>
      <c r="H321" s="13648" t="s">
        <v>28</v>
      </c>
      <c r="I321" s="13648" t="s">
        <v>1039</v>
      </c>
    </row>
    <row customHeight="1" ht="11.25">
      <c r="A322" s="13648" t="s">
        <v>2383</v>
      </c>
      <c r="B322" s="13648" t="s">
        <v>16</v>
      </c>
      <c r="C322" s="13648" t="s">
        <v>2946</v>
      </c>
      <c r="D322" s="13648" t="s">
        <v>2947</v>
      </c>
      <c r="E322" s="13648" t="s">
        <v>2948</v>
      </c>
      <c r="F322" s="13648" t="s">
        <v>2596</v>
      </c>
      <c r="G322" s="13648" t="s">
        <v>2949</v>
      </c>
      <c r="H322" s="13648" t="s">
        <v>28</v>
      </c>
      <c r="I322" s="13648" t="s">
        <v>1039</v>
      </c>
    </row>
    <row customHeight="1" ht="11.25">
      <c r="A323" s="13648" t="s">
        <v>2383</v>
      </c>
      <c r="B323" s="13648" t="s">
        <v>16</v>
      </c>
      <c r="C323" s="13648" t="s">
        <v>2610</v>
      </c>
      <c r="D323" s="13648" t="s">
        <v>2611</v>
      </c>
      <c r="E323" s="13648" t="s">
        <v>2612</v>
      </c>
      <c r="F323" s="13648" t="s">
        <v>2613</v>
      </c>
      <c r="G323" s="13648" t="s">
        <v>28</v>
      </c>
      <c r="H323" s="13648" t="s">
        <v>28</v>
      </c>
      <c r="I323" s="13648" t="s">
        <v>1039</v>
      </c>
    </row>
    <row customHeight="1" ht="11.25">
      <c r="A324" s="13648" t="s">
        <v>2383</v>
      </c>
      <c r="B324" s="13648" t="s">
        <v>16</v>
      </c>
      <c r="C324" s="13648" t="s">
        <v>2954</v>
      </c>
      <c r="D324" s="13648" t="s">
        <v>2955</v>
      </c>
      <c r="E324" s="13648" t="s">
        <v>2956</v>
      </c>
      <c r="F324" s="13648" t="s">
        <v>2617</v>
      </c>
      <c r="G324" s="13648" t="s">
        <v>28</v>
      </c>
      <c r="H324" s="13648" t="s">
        <v>28</v>
      </c>
      <c r="I324" s="13648" t="s">
        <v>1039</v>
      </c>
    </row>
    <row customHeight="1" ht="11.25">
      <c r="A325" s="13648" t="s">
        <v>2383</v>
      </c>
      <c r="B325" s="13648" t="s">
        <v>16</v>
      </c>
      <c r="C325" s="13648" t="s">
        <v>2957</v>
      </c>
      <c r="D325" s="13648" t="s">
        <v>2958</v>
      </c>
      <c r="E325" s="13648" t="s">
        <v>2959</v>
      </c>
      <c r="F325" s="13648" t="s">
        <v>2491</v>
      </c>
      <c r="G325" s="13648" t="s">
        <v>28</v>
      </c>
      <c r="H325" s="13648" t="s">
        <v>28</v>
      </c>
      <c r="I325" s="13648" t="s">
        <v>1039</v>
      </c>
    </row>
    <row customHeight="1" ht="11.25">
      <c r="A326" s="13648" t="s">
        <v>2383</v>
      </c>
      <c r="B326" s="13648" t="s">
        <v>16</v>
      </c>
      <c r="C326" s="13648" t="s">
        <v>2632</v>
      </c>
      <c r="D326" s="13648" t="s">
        <v>2633</v>
      </c>
      <c r="E326" s="13648" t="s">
        <v>2634</v>
      </c>
      <c r="F326" s="13648" t="s">
        <v>2596</v>
      </c>
      <c r="G326" s="13648" t="s">
        <v>28</v>
      </c>
      <c r="H326" s="13648" t="s">
        <v>28</v>
      </c>
      <c r="I326" s="13648" t="s">
        <v>1039</v>
      </c>
    </row>
    <row customHeight="1" ht="11.25">
      <c r="A327" s="13648" t="s">
        <v>2383</v>
      </c>
      <c r="B327" s="13648" t="s">
        <v>16</v>
      </c>
      <c r="C327" s="13648" t="s">
        <v>2638</v>
      </c>
      <c r="D327" s="13648" t="s">
        <v>2639</v>
      </c>
      <c r="E327" s="13648" t="s">
        <v>2640</v>
      </c>
      <c r="F327" s="13648" t="s">
        <v>2641</v>
      </c>
      <c r="G327" s="13648" t="s">
        <v>28</v>
      </c>
      <c r="H327" s="13648" t="s">
        <v>28</v>
      </c>
      <c r="I327" s="13648" t="s">
        <v>1039</v>
      </c>
    </row>
    <row customHeight="1" ht="11.25">
      <c r="A328" s="13648" t="s">
        <v>2383</v>
      </c>
      <c r="B328" s="13648" t="s">
        <v>16</v>
      </c>
      <c r="C328" s="13648" t="s">
        <v>2960</v>
      </c>
      <c r="D328" s="13648" t="s">
        <v>2961</v>
      </c>
      <c r="E328" s="13648" t="s">
        <v>2962</v>
      </c>
      <c r="F328" s="13648" t="s">
        <v>2641</v>
      </c>
      <c r="G328" s="13648" t="s">
        <v>28</v>
      </c>
      <c r="H328" s="13648" t="s">
        <v>28</v>
      </c>
      <c r="I328" s="13648" t="s">
        <v>1039</v>
      </c>
    </row>
    <row customHeight="1" ht="11.25">
      <c r="A329" s="13648" t="s">
        <v>2383</v>
      </c>
      <c r="B329" s="13648" t="s">
        <v>16</v>
      </c>
      <c r="C329" s="13648" t="s">
        <v>2646</v>
      </c>
      <c r="D329" s="13648" t="s">
        <v>2647</v>
      </c>
      <c r="E329" s="13648" t="s">
        <v>2648</v>
      </c>
      <c r="F329" s="13648" t="s">
        <v>2649</v>
      </c>
      <c r="G329" s="13648" t="s">
        <v>2650</v>
      </c>
      <c r="H329" s="13648" t="s">
        <v>28</v>
      </c>
      <c r="I329" s="13648" t="s">
        <v>1039</v>
      </c>
    </row>
    <row customHeight="1" ht="11.25">
      <c r="A330" s="13648" t="s">
        <v>2383</v>
      </c>
      <c r="B330" s="13648" t="s">
        <v>16</v>
      </c>
      <c r="C330" s="13648" t="s">
        <v>2654</v>
      </c>
      <c r="D330" s="13648" t="s">
        <v>2655</v>
      </c>
      <c r="E330" s="13648" t="s">
        <v>2414</v>
      </c>
      <c r="F330" s="13648" t="s">
        <v>2478</v>
      </c>
      <c r="G330" s="13648" t="s">
        <v>28</v>
      </c>
      <c r="H330" s="13648" t="s">
        <v>28</v>
      </c>
      <c r="I330" s="13648" t="s">
        <v>1039</v>
      </c>
    </row>
    <row customHeight="1" ht="11.25">
      <c r="A331" s="13648" t="s">
        <v>2383</v>
      </c>
      <c r="B331" s="13648" t="s">
        <v>16</v>
      </c>
      <c r="C331" s="13648" t="s">
        <v>2659</v>
      </c>
      <c r="D331" s="13648" t="s">
        <v>2660</v>
      </c>
      <c r="E331" s="13648" t="s">
        <v>2661</v>
      </c>
      <c r="F331" s="13648" t="s">
        <v>2580</v>
      </c>
      <c r="G331" s="13648" t="s">
        <v>28</v>
      </c>
      <c r="H331" s="13648" t="s">
        <v>28</v>
      </c>
      <c r="I331" s="13648" t="s">
        <v>1039</v>
      </c>
    </row>
    <row customHeight="1" ht="11.25">
      <c r="A332" s="13648" t="s">
        <v>2383</v>
      </c>
      <c r="B332" s="13648" t="s">
        <v>16</v>
      </c>
      <c r="C332" s="13648" t="s">
        <v>3013</v>
      </c>
      <c r="D332" s="13648" t="s">
        <v>3014</v>
      </c>
      <c r="E332" s="13648" t="s">
        <v>3015</v>
      </c>
      <c r="F332" s="13648" t="s">
        <v>3016</v>
      </c>
      <c r="G332" s="13648" t="s">
        <v>28</v>
      </c>
      <c r="H332" s="13648" t="s">
        <v>28</v>
      </c>
      <c r="I332" s="13648" t="s">
        <v>1039</v>
      </c>
    </row>
    <row customHeight="1" ht="11.25">
      <c r="A333" s="13648" t="s">
        <v>2383</v>
      </c>
      <c r="B333" s="13648" t="s">
        <v>16</v>
      </c>
      <c r="C333" s="13648" t="s">
        <v>3017</v>
      </c>
      <c r="D333" s="13648" t="s">
        <v>3018</v>
      </c>
      <c r="E333" s="13648" t="s">
        <v>3019</v>
      </c>
      <c r="F333" s="13648" t="s">
        <v>2424</v>
      </c>
      <c r="G333" s="13648" t="s">
        <v>28</v>
      </c>
      <c r="H333" s="13648" t="s">
        <v>28</v>
      </c>
      <c r="I333" s="13648" t="s">
        <v>1039</v>
      </c>
    </row>
    <row customHeight="1" ht="11.25">
      <c r="A334" s="13648" t="s">
        <v>2383</v>
      </c>
      <c r="B334" s="13648" t="s">
        <v>16</v>
      </c>
      <c r="C334" s="13648" t="s">
        <v>2667</v>
      </c>
      <c r="D334" s="13648" t="s">
        <v>2668</v>
      </c>
      <c r="E334" s="13648" t="s">
        <v>2669</v>
      </c>
      <c r="F334" s="13648" t="s">
        <v>2670</v>
      </c>
      <c r="G334" s="13648" t="s">
        <v>28</v>
      </c>
      <c r="H334" s="13648" t="s">
        <v>28</v>
      </c>
      <c r="I334" s="13648" t="s">
        <v>1039</v>
      </c>
    </row>
    <row customHeight="1" ht="11.25">
      <c r="A335" s="13648" t="s">
        <v>2383</v>
      </c>
      <c r="B335" s="13648" t="s">
        <v>16</v>
      </c>
      <c r="C335" s="13648" t="s">
        <v>3020</v>
      </c>
      <c r="D335" s="13648" t="s">
        <v>3021</v>
      </c>
      <c r="E335" s="13648" t="s">
        <v>3022</v>
      </c>
      <c r="F335" s="13648" t="s">
        <v>2395</v>
      </c>
      <c r="G335" s="13648" t="s">
        <v>28</v>
      </c>
      <c r="H335" s="13648" t="s">
        <v>28</v>
      </c>
      <c r="I335" s="13648" t="s">
        <v>1753</v>
      </c>
    </row>
    <row customHeight="1" ht="11.25">
      <c r="A336" s="13648" t="s">
        <v>2383</v>
      </c>
      <c r="B336" s="13648" t="s">
        <v>16</v>
      </c>
      <c r="C336" s="13648" t="s">
        <v>3023</v>
      </c>
      <c r="D336" s="13648" t="s">
        <v>3024</v>
      </c>
      <c r="E336" s="13648" t="s">
        <v>3025</v>
      </c>
      <c r="F336" s="13648" t="s">
        <v>708</v>
      </c>
      <c r="G336" s="13648" t="s">
        <v>28</v>
      </c>
      <c r="H336" s="13648" t="s">
        <v>28</v>
      </c>
      <c r="I336" s="13648" t="s">
        <v>1753</v>
      </c>
    </row>
    <row customHeight="1" ht="11.25">
      <c r="A337" s="13648" t="s">
        <v>2383</v>
      </c>
      <c r="B337" s="13648" t="s">
        <v>16</v>
      </c>
      <c r="C337" s="13648" t="s">
        <v>3026</v>
      </c>
      <c r="D337" s="13648" t="s">
        <v>3027</v>
      </c>
      <c r="E337" s="13648" t="s">
        <v>3028</v>
      </c>
      <c r="F337" s="13648" t="s">
        <v>708</v>
      </c>
      <c r="G337" s="13648" t="s">
        <v>28</v>
      </c>
      <c r="H337" s="13648" t="s">
        <v>28</v>
      </c>
      <c r="I337" s="13648" t="s">
        <v>1753</v>
      </c>
    </row>
    <row customHeight="1" ht="11.25">
      <c r="A338" s="13648" t="s">
        <v>2383</v>
      </c>
      <c r="B338" s="13648" t="s">
        <v>16</v>
      </c>
      <c r="C338" s="13648" t="s">
        <v>28</v>
      </c>
      <c r="D338" s="13648" t="s">
        <v>2448</v>
      </c>
      <c r="E338" s="13648" t="s">
        <v>2449</v>
      </c>
      <c r="F338" s="13648" t="s">
        <v>2395</v>
      </c>
      <c r="G338" s="13648" t="s">
        <v>28</v>
      </c>
      <c r="H338" s="13648" t="s">
        <v>28</v>
      </c>
      <c r="I338" s="13648" t="s">
        <v>1753</v>
      </c>
    </row>
    <row customHeight="1" ht="11.25">
      <c r="A339" s="13648" t="s">
        <v>2383</v>
      </c>
      <c r="B339" s="13648" t="s">
        <v>16</v>
      </c>
      <c r="C339" s="13648" t="s">
        <v>2834</v>
      </c>
      <c r="D339" s="13648" t="s">
        <v>2835</v>
      </c>
      <c r="E339" s="13648" t="s">
        <v>2836</v>
      </c>
      <c r="F339" s="13648" t="s">
        <v>2645</v>
      </c>
      <c r="G339" s="13648" t="s">
        <v>2837</v>
      </c>
      <c r="H339" s="13648" t="s">
        <v>28</v>
      </c>
      <c r="I339" s="13648" t="s">
        <v>1753</v>
      </c>
    </row>
    <row customHeight="1" ht="11.25">
      <c r="A340" s="13648" t="s">
        <v>2383</v>
      </c>
      <c r="B340" s="13648" t="s">
        <v>16</v>
      </c>
      <c r="C340" s="13648" t="s">
        <v>3029</v>
      </c>
      <c r="D340" s="13648" t="s">
        <v>3030</v>
      </c>
      <c r="E340" s="13648" t="s">
        <v>3031</v>
      </c>
      <c r="F340" s="13648" t="s">
        <v>2509</v>
      </c>
      <c r="G340" s="13648" t="s">
        <v>28</v>
      </c>
      <c r="H340" s="13648" t="s">
        <v>28</v>
      </c>
      <c r="I340" s="13648" t="s">
        <v>1753</v>
      </c>
    </row>
    <row customHeight="1" ht="11.25">
      <c r="A341" s="13648" t="s">
        <v>2383</v>
      </c>
      <c r="B341" s="13648" t="s">
        <v>16</v>
      </c>
      <c r="C341" s="13648" t="s">
        <v>3032</v>
      </c>
      <c r="D341" s="13648" t="s">
        <v>3033</v>
      </c>
      <c r="E341" s="13648" t="s">
        <v>3034</v>
      </c>
      <c r="F341" s="13648" t="s">
        <v>2505</v>
      </c>
      <c r="G341" s="13648" t="s">
        <v>28</v>
      </c>
      <c r="H341" s="13648" t="s">
        <v>28</v>
      </c>
      <c r="I341" s="13648" t="s">
        <v>1753</v>
      </c>
    </row>
    <row customHeight="1" ht="11.25">
      <c r="A342" s="13648" t="s">
        <v>2383</v>
      </c>
      <c r="B342" s="13648" t="s">
        <v>16</v>
      </c>
      <c r="C342" s="13648" t="s">
        <v>3035</v>
      </c>
      <c r="D342" s="13648" t="s">
        <v>3036</v>
      </c>
      <c r="E342" s="13648" t="s">
        <v>3037</v>
      </c>
      <c r="F342" s="13648" t="s">
        <v>2496</v>
      </c>
      <c r="G342" s="13648" t="s">
        <v>28</v>
      </c>
      <c r="H342" s="13648" t="s">
        <v>28</v>
      </c>
      <c r="I342" s="13648" t="s">
        <v>1753</v>
      </c>
    </row>
    <row customHeight="1" ht="11.25">
      <c r="A343" s="13648" t="s">
        <v>2383</v>
      </c>
      <c r="B343" s="13648" t="s">
        <v>16</v>
      </c>
      <c r="C343" s="13648" t="s">
        <v>2908</v>
      </c>
      <c r="D343" s="13648" t="s">
        <v>2909</v>
      </c>
      <c r="E343" s="13648" t="s">
        <v>2910</v>
      </c>
      <c r="F343" s="13648" t="s">
        <v>2471</v>
      </c>
      <c r="G343" s="13648" t="s">
        <v>28</v>
      </c>
      <c r="H343" s="13648" t="s">
        <v>28</v>
      </c>
      <c r="I343" s="13648" t="s">
        <v>1753</v>
      </c>
    </row>
    <row customHeight="1" ht="11.25">
      <c r="A344" s="13648" t="s">
        <v>2383</v>
      </c>
      <c r="B344" s="13648" t="s">
        <v>16</v>
      </c>
      <c r="C344" s="13648" t="s">
        <v>2914</v>
      </c>
      <c r="D344" s="13648" t="s">
        <v>2915</v>
      </c>
      <c r="E344" s="13648" t="s">
        <v>2916</v>
      </c>
      <c r="F344" s="13648" t="s">
        <v>2558</v>
      </c>
      <c r="G344" s="13648" t="s">
        <v>28</v>
      </c>
      <c r="H344" s="13648" t="s">
        <v>28</v>
      </c>
      <c r="I344" s="13648" t="s">
        <v>1753</v>
      </c>
    </row>
    <row customHeight="1" ht="11.25">
      <c r="A345" s="13648" t="s">
        <v>2383</v>
      </c>
      <c r="B345" s="13648" t="s">
        <v>16</v>
      </c>
      <c r="C345" s="13648" t="s">
        <v>2927</v>
      </c>
      <c r="D345" s="13648" t="s">
        <v>2928</v>
      </c>
      <c r="E345" s="13648" t="s">
        <v>2929</v>
      </c>
      <c r="F345" s="13648" t="s">
        <v>2596</v>
      </c>
      <c r="G345" s="13648" t="s">
        <v>28</v>
      </c>
      <c r="H345" s="13648" t="s">
        <v>28</v>
      </c>
      <c r="I345" s="13648" t="s">
        <v>1753</v>
      </c>
    </row>
    <row customHeight="1" ht="11.25">
      <c r="A346" s="13648" t="s">
        <v>2383</v>
      </c>
      <c r="B346" s="13648" t="s">
        <v>16</v>
      </c>
      <c r="C346" s="13648" t="s">
        <v>3038</v>
      </c>
      <c r="D346" s="13648" t="s">
        <v>3039</v>
      </c>
      <c r="E346" s="13648" t="s">
        <v>3040</v>
      </c>
      <c r="F346" s="13648" t="s">
        <v>2395</v>
      </c>
      <c r="G346" s="13648" t="s">
        <v>28</v>
      </c>
      <c r="H346" s="13648" t="s">
        <v>28</v>
      </c>
      <c r="I346" s="13648" t="s">
        <v>1753</v>
      </c>
    </row>
    <row customHeight="1" ht="11.25">
      <c r="A347" s="13648" t="s">
        <v>2383</v>
      </c>
      <c r="B347" s="13648" t="s">
        <v>16</v>
      </c>
      <c r="C347" s="13648" t="s">
        <v>3041</v>
      </c>
      <c r="D347" s="13648" t="s">
        <v>3042</v>
      </c>
      <c r="E347" s="13648" t="s">
        <v>3043</v>
      </c>
      <c r="F347" s="13648" t="s">
        <v>2933</v>
      </c>
      <c r="G347" s="13648" t="s">
        <v>28</v>
      </c>
      <c r="H347" s="13648" t="s">
        <v>3044</v>
      </c>
      <c r="I347" s="13648" t="s">
        <v>1753</v>
      </c>
    </row>
    <row customHeight="1" ht="11.25">
      <c r="A348" s="13648" t="s">
        <v>2383</v>
      </c>
      <c r="B348" s="13648" t="s">
        <v>16</v>
      </c>
      <c r="C348" s="13648" t="s">
        <v>2601</v>
      </c>
      <c r="D348" s="13648" t="s">
        <v>2602</v>
      </c>
      <c r="E348" s="13648" t="s">
        <v>2603</v>
      </c>
      <c r="F348" s="13648" t="s">
        <v>2457</v>
      </c>
      <c r="G348" s="13648" t="s">
        <v>28</v>
      </c>
      <c r="H348" s="13648" t="s">
        <v>28</v>
      </c>
      <c r="I348" s="13648" t="s">
        <v>1753</v>
      </c>
    </row>
    <row customHeight="1" ht="11.25">
      <c r="A349" s="13648" t="s">
        <v>2383</v>
      </c>
      <c r="B349" s="13648" t="s">
        <v>16</v>
      </c>
      <c r="C349" s="13648" t="s">
        <v>3045</v>
      </c>
      <c r="D349" s="13648" t="s">
        <v>3046</v>
      </c>
      <c r="E349" s="13648" t="s">
        <v>3047</v>
      </c>
      <c r="F349" s="13648" t="s">
        <v>2478</v>
      </c>
      <c r="G349" s="13648" t="s">
        <v>28</v>
      </c>
      <c r="H349" s="13648" t="s">
        <v>28</v>
      </c>
      <c r="I349" s="13648" t="s">
        <v>1753</v>
      </c>
    </row>
    <row customHeight="1" ht="11.25">
      <c r="A350" s="13648" t="s">
        <v>2383</v>
      </c>
      <c r="B350" s="13648" t="s">
        <v>16</v>
      </c>
      <c r="C350" s="13648" t="s">
        <v>3048</v>
      </c>
      <c r="D350" s="13648" t="s">
        <v>3049</v>
      </c>
      <c r="E350" s="13648" t="s">
        <v>3050</v>
      </c>
      <c r="F350" s="13648" t="s">
        <v>2576</v>
      </c>
      <c r="G350" s="13648" t="s">
        <v>28</v>
      </c>
      <c r="H350" s="13648" t="s">
        <v>28</v>
      </c>
      <c r="I350" s="13648" t="s">
        <v>1753</v>
      </c>
    </row>
    <row customHeight="1" ht="11.25">
      <c r="A351" s="13648" t="s">
        <v>2383</v>
      </c>
      <c r="B351" s="13648" t="s">
        <v>16</v>
      </c>
      <c r="C351" s="13648" t="s">
        <v>3051</v>
      </c>
      <c r="D351" s="13648" t="s">
        <v>3052</v>
      </c>
      <c r="E351" s="13648" t="s">
        <v>3053</v>
      </c>
      <c r="F351" s="13648" t="s">
        <v>2471</v>
      </c>
      <c r="G351" s="13648" t="s">
        <v>28</v>
      </c>
      <c r="H351" s="13648" t="s">
        <v>28</v>
      </c>
      <c r="I351" s="13648" t="s">
        <v>1753</v>
      </c>
    </row>
    <row customHeight="1" ht="11.25">
      <c r="A352" s="13648" t="s">
        <v>2383</v>
      </c>
      <c r="B352" s="13648" t="s">
        <v>16</v>
      </c>
      <c r="C352" s="13648" t="s">
        <v>2607</v>
      </c>
      <c r="D352" s="13648" t="s">
        <v>2608</v>
      </c>
      <c r="E352" s="13648" t="s">
        <v>2609</v>
      </c>
      <c r="F352" s="13648" t="s">
        <v>2387</v>
      </c>
      <c r="G352" s="13648" t="s">
        <v>28</v>
      </c>
      <c r="H352" s="13648" t="s">
        <v>28</v>
      </c>
      <c r="I352" s="13648" t="s">
        <v>1753</v>
      </c>
    </row>
    <row customHeight="1" ht="11.25">
      <c r="A353" s="13648" t="s">
        <v>2383</v>
      </c>
      <c r="B353" s="13648" t="s">
        <v>16</v>
      </c>
      <c r="C353" s="13648" t="s">
        <v>2950</v>
      </c>
      <c r="D353" s="13648" t="s">
        <v>2951</v>
      </c>
      <c r="E353" s="13648" t="s">
        <v>2952</v>
      </c>
      <c r="F353" s="13648" t="s">
        <v>2953</v>
      </c>
      <c r="G353" s="13648" t="s">
        <v>28</v>
      </c>
      <c r="H353" s="13648" t="s">
        <v>28</v>
      </c>
      <c r="I353" s="13648" t="s">
        <v>1753</v>
      </c>
    </row>
    <row customHeight="1" ht="11.25">
      <c r="A354" s="13648" t="s">
        <v>2383</v>
      </c>
      <c r="B354" s="13648" t="s">
        <v>16</v>
      </c>
      <c r="C354" s="13648" t="s">
        <v>3054</v>
      </c>
      <c r="D354" s="13648" t="s">
        <v>3055</v>
      </c>
      <c r="E354" s="13648" t="s">
        <v>3056</v>
      </c>
      <c r="F354" s="13648" t="s">
        <v>2395</v>
      </c>
      <c r="G354" s="13648" t="s">
        <v>3057</v>
      </c>
      <c r="H354" s="13648" t="s">
        <v>28</v>
      </c>
      <c r="I354" s="13648" t="s">
        <v>1753</v>
      </c>
    </row>
    <row customHeight="1" ht="11.25">
      <c r="A355" s="13648" t="s">
        <v>2383</v>
      </c>
      <c r="B355" s="13648" t="s">
        <v>16</v>
      </c>
      <c r="C355" s="13648" t="s">
        <v>2957</v>
      </c>
      <c r="D355" s="13648" t="s">
        <v>2958</v>
      </c>
      <c r="E355" s="13648" t="s">
        <v>2959</v>
      </c>
      <c r="F355" s="13648" t="s">
        <v>2491</v>
      </c>
      <c r="G355" s="13648" t="s">
        <v>28</v>
      </c>
      <c r="H355" s="13648" t="s">
        <v>28</v>
      </c>
      <c r="I355" s="13648" t="s">
        <v>1753</v>
      </c>
    </row>
    <row customHeight="1" ht="11.25">
      <c r="A356" s="13648" t="s">
        <v>2383</v>
      </c>
      <c r="B356" s="13648" t="s">
        <v>16</v>
      </c>
      <c r="C356" s="13648" t="s">
        <v>3058</v>
      </c>
      <c r="D356" s="13648" t="s">
        <v>3059</v>
      </c>
      <c r="E356" s="13648" t="s">
        <v>3060</v>
      </c>
      <c r="F356" s="13648" t="s">
        <v>2509</v>
      </c>
      <c r="G356" s="13648" t="s">
        <v>28</v>
      </c>
      <c r="H356" s="13648" t="s">
        <v>28</v>
      </c>
      <c r="I356" s="13648" t="s">
        <v>1753</v>
      </c>
    </row>
    <row customHeight="1" ht="11.25">
      <c r="A357" s="13648" t="s">
        <v>2383</v>
      </c>
      <c r="B357" s="13648" t="s">
        <v>16</v>
      </c>
      <c r="C357" s="13648" t="s">
        <v>3061</v>
      </c>
      <c r="D357" s="13648" t="s">
        <v>3062</v>
      </c>
      <c r="E357" s="13648" t="s">
        <v>3063</v>
      </c>
      <c r="F357" s="13648" t="s">
        <v>3064</v>
      </c>
      <c r="G357" s="13648" t="s">
        <v>28</v>
      </c>
      <c r="H357" s="13648" t="s">
        <v>28</v>
      </c>
      <c r="I357" s="13648" t="s">
        <v>1753</v>
      </c>
    </row>
    <row customHeight="1" ht="11.25">
      <c r="A358" s="13648" t="s">
        <v>2383</v>
      </c>
      <c r="B358" s="13648" t="s">
        <v>16</v>
      </c>
      <c r="C358" s="13648" t="s">
        <v>3065</v>
      </c>
      <c r="D358" s="13648" t="s">
        <v>3066</v>
      </c>
      <c r="E358" s="13648" t="s">
        <v>3067</v>
      </c>
      <c r="F358" s="13648" t="s">
        <v>2471</v>
      </c>
      <c r="G358" s="13648" t="s">
        <v>28</v>
      </c>
      <c r="H358" s="13648" t="s">
        <v>28</v>
      </c>
      <c r="I358" s="13648" t="s">
        <v>1753</v>
      </c>
    </row>
    <row customHeight="1" ht="11.25">
      <c r="A359" s="13648" t="s">
        <v>2383</v>
      </c>
      <c r="B359" s="13648" t="s">
        <v>16</v>
      </c>
      <c r="C359" s="13648" t="s">
        <v>3068</v>
      </c>
      <c r="D359" s="13648" t="s">
        <v>3069</v>
      </c>
      <c r="E359" s="13648" t="s">
        <v>3070</v>
      </c>
      <c r="F359" s="13648" t="s">
        <v>2471</v>
      </c>
      <c r="G359" s="13648" t="s">
        <v>28</v>
      </c>
      <c r="H359" s="13648" t="s">
        <v>28</v>
      </c>
      <c r="I359" s="13648" t="s">
        <v>1753</v>
      </c>
    </row>
    <row customHeight="1" ht="11.25">
      <c r="A360" s="13648" t="s">
        <v>2383</v>
      </c>
      <c r="B360" s="13648" t="s">
        <v>16</v>
      </c>
      <c r="C360" s="13648" t="s">
        <v>3071</v>
      </c>
      <c r="D360" s="13648" t="s">
        <v>3072</v>
      </c>
      <c r="E360" s="13648" t="s">
        <v>3073</v>
      </c>
      <c r="F360" s="13648" t="s">
        <v>2395</v>
      </c>
      <c r="G360" s="13648" t="s">
        <v>28</v>
      </c>
      <c r="H360" s="13648" t="s">
        <v>28</v>
      </c>
      <c r="I360" s="13648" t="s">
        <v>1753</v>
      </c>
    </row>
    <row customHeight="1" ht="11.25">
      <c r="A361" s="13648" t="s">
        <v>2383</v>
      </c>
      <c r="B361" s="13648" t="s">
        <v>16</v>
      </c>
      <c r="C361" s="13648" t="s">
        <v>3074</v>
      </c>
      <c r="D361" s="13648" t="s">
        <v>3075</v>
      </c>
      <c r="E361" s="13648" t="s">
        <v>3076</v>
      </c>
      <c r="F361" s="13648" t="s">
        <v>2580</v>
      </c>
      <c r="G361" s="13648" t="s">
        <v>28</v>
      </c>
      <c r="H361" s="13648" t="s">
        <v>3077</v>
      </c>
      <c r="I361" s="13648" t="s">
        <v>1753</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8BD334-B2CA-E3AB-393D-B66D69DCE499}" mc:Ignorable="x14ac xr xr2 xr3">
  <sheetPr>
    <tabColor rgb="FFFFCC99"/>
  </sheetPr>
  <dimension ref="A1:G348"/>
  <sheetViews>
    <sheetView topLeftCell="A1" showGridLines="0" workbookViewId="0">
      <selection activeCell="A1" sqref="A1"/>
    </sheetView>
  </sheetViews>
  <sheetFormatPr customHeight="1" defaultRowHeight="11.25"/>
  <cols>
    <col min="1" max="1" style="2911" width="9.140625"/>
  </cols>
  <sheetData>
    <row customHeight="1" ht="11.25">
      <c r="A1" s="429" t="s">
        <v>3078</v>
      </c>
      <c r="B1" s="118" t="s">
        <v>3079</v>
      </c>
      <c r="C1" s="118" t="s">
        <v>3080</v>
      </c>
      <c r="D1" s="118" t="s">
        <v>3081</v>
      </c>
      <c r="E1" s="0" t="s">
        <v>3082</v>
      </c>
      <c r="F1" s="0" t="s">
        <v>3083</v>
      </c>
      <c r="G1" s="0" t="s">
        <v>3084</v>
      </c>
    </row>
    <row customHeight="1" ht="11.25">
      <c r="A2" s="429" t="s">
        <v>16</v>
      </c>
      <c r="B2" s="0" t="s">
        <v>3085</v>
      </c>
      <c r="C2" s="0" t="s">
        <v>3086</v>
      </c>
      <c r="D2" s="0" t="s">
        <v>3087</v>
      </c>
      <c r="E2" s="0" t="s">
        <v>3088</v>
      </c>
      <c r="F2" s="0" t="s">
        <v>3089</v>
      </c>
      <c r="G2" s="0" t="s">
        <v>191</v>
      </c>
    </row>
    <row customHeight="1" ht="11.25">
      <c r="A3" s="429" t="s">
        <v>16</v>
      </c>
      <c r="B3" s="0" t="s">
        <v>3085</v>
      </c>
      <c r="C3" s="0" t="s">
        <v>3086</v>
      </c>
      <c r="D3" s="0" t="s">
        <v>3085</v>
      </c>
      <c r="E3" s="0" t="s">
        <v>3086</v>
      </c>
      <c r="F3" s="0" t="s">
        <v>3090</v>
      </c>
      <c r="G3" s="0" t="s">
        <v>108</v>
      </c>
    </row>
    <row customHeight="1" ht="11.25">
      <c r="A4" s="429" t="s">
        <v>16</v>
      </c>
      <c r="B4" s="0" t="s">
        <v>3085</v>
      </c>
      <c r="C4" s="0" t="s">
        <v>3086</v>
      </c>
      <c r="D4" s="0" t="s">
        <v>3091</v>
      </c>
      <c r="E4" s="0" t="s">
        <v>3092</v>
      </c>
      <c r="F4" s="0" t="s">
        <v>3089</v>
      </c>
      <c r="G4" s="0" t="s">
        <v>94</v>
      </c>
    </row>
    <row customHeight="1" ht="11.25">
      <c r="A5" s="429" t="s">
        <v>16</v>
      </c>
      <c r="B5" s="0" t="s">
        <v>3085</v>
      </c>
      <c r="C5" s="0" t="s">
        <v>3086</v>
      </c>
      <c r="D5" s="0" t="s">
        <v>3093</v>
      </c>
      <c r="E5" s="0" t="s">
        <v>3094</v>
      </c>
      <c r="F5" s="0" t="s">
        <v>3089</v>
      </c>
      <c r="G5" s="0" t="s">
        <v>95</v>
      </c>
    </row>
    <row customHeight="1" ht="11.25">
      <c r="A6" s="429" t="s">
        <v>16</v>
      </c>
      <c r="B6" s="0" t="s">
        <v>3085</v>
      </c>
      <c r="C6" s="0" t="s">
        <v>3086</v>
      </c>
      <c r="D6" s="0" t="s">
        <v>3095</v>
      </c>
      <c r="E6" s="0" t="s">
        <v>3096</v>
      </c>
      <c r="F6" s="0" t="s">
        <v>3089</v>
      </c>
      <c r="G6" s="0" t="s">
        <v>122</v>
      </c>
    </row>
    <row customHeight="1" ht="11.25">
      <c r="A7" s="429" t="s">
        <v>16</v>
      </c>
      <c r="B7" s="0" t="s">
        <v>3085</v>
      </c>
      <c r="C7" s="0" t="s">
        <v>3086</v>
      </c>
      <c r="D7" s="0" t="s">
        <v>3097</v>
      </c>
      <c r="E7" s="0" t="s">
        <v>3098</v>
      </c>
      <c r="F7" s="0" t="s">
        <v>3089</v>
      </c>
      <c r="G7" s="0" t="s">
        <v>96</v>
      </c>
    </row>
    <row customHeight="1" ht="11.25">
      <c r="A8" s="429" t="s">
        <v>16</v>
      </c>
      <c r="B8" s="0" t="s">
        <v>3085</v>
      </c>
      <c r="C8" s="0" t="s">
        <v>3086</v>
      </c>
      <c r="D8" s="0" t="s">
        <v>3099</v>
      </c>
      <c r="E8" s="0" t="s">
        <v>3100</v>
      </c>
      <c r="F8" s="0" t="s">
        <v>3089</v>
      </c>
      <c r="G8" s="0" t="s">
        <v>97</v>
      </c>
    </row>
    <row customHeight="1" ht="11.25">
      <c r="A9" s="429" t="s">
        <v>16</v>
      </c>
      <c r="B9" s="0" t="s">
        <v>3085</v>
      </c>
      <c r="C9" s="0" t="s">
        <v>3086</v>
      </c>
      <c r="D9" s="0" t="s">
        <v>3101</v>
      </c>
      <c r="E9" s="0" t="s">
        <v>3102</v>
      </c>
      <c r="F9" s="0" t="s">
        <v>3089</v>
      </c>
      <c r="G9" s="0" t="s">
        <v>135</v>
      </c>
    </row>
    <row customHeight="1" ht="11.25">
      <c r="A10" s="429" t="s">
        <v>16</v>
      </c>
      <c r="B10" s="0" t="s">
        <v>3085</v>
      </c>
      <c r="C10" s="0" t="s">
        <v>3086</v>
      </c>
      <c r="D10" s="0" t="s">
        <v>3103</v>
      </c>
      <c r="E10" s="0" t="s">
        <v>3104</v>
      </c>
      <c r="F10" s="0" t="s">
        <v>3089</v>
      </c>
      <c r="G10" s="0" t="s">
        <v>140</v>
      </c>
    </row>
    <row customHeight="1" ht="11.25">
      <c r="A11" s="429" t="s">
        <v>16</v>
      </c>
      <c r="B11" s="0" t="s">
        <v>3085</v>
      </c>
      <c r="C11" s="0" t="s">
        <v>3086</v>
      </c>
      <c r="D11" s="0" t="s">
        <v>3105</v>
      </c>
      <c r="E11" s="0" t="s">
        <v>3106</v>
      </c>
      <c r="F11" s="0" t="s">
        <v>3089</v>
      </c>
      <c r="G11" s="0" t="s">
        <v>145</v>
      </c>
    </row>
    <row customHeight="1" ht="11.25">
      <c r="A12" s="429" t="s">
        <v>16</v>
      </c>
      <c r="B12" s="0" t="s">
        <v>3085</v>
      </c>
      <c r="C12" s="0" t="s">
        <v>3086</v>
      </c>
      <c r="D12" s="0" t="s">
        <v>3107</v>
      </c>
      <c r="E12" s="0" t="s">
        <v>3108</v>
      </c>
      <c r="F12" s="0" t="s">
        <v>3089</v>
      </c>
      <c r="G12" s="0" t="s">
        <v>150</v>
      </c>
    </row>
    <row customHeight="1" ht="11.25">
      <c r="A13" s="429" t="s">
        <v>16</v>
      </c>
      <c r="B13" s="0" t="s">
        <v>3085</v>
      </c>
      <c r="C13" s="0" t="s">
        <v>3086</v>
      </c>
      <c r="D13" s="0" t="s">
        <v>3109</v>
      </c>
      <c r="E13" s="0" t="s">
        <v>3110</v>
      </c>
      <c r="F13" s="0" t="s">
        <v>3089</v>
      </c>
      <c r="G13" s="0" t="s">
        <v>155</v>
      </c>
    </row>
    <row customHeight="1" ht="11.25">
      <c r="A14" s="429" t="s">
        <v>16</v>
      </c>
      <c r="B14" s="0" t="s">
        <v>3085</v>
      </c>
      <c r="C14" s="0" t="s">
        <v>3086</v>
      </c>
      <c r="D14" s="0" t="s">
        <v>3111</v>
      </c>
      <c r="E14" s="0" t="s">
        <v>3112</v>
      </c>
      <c r="F14" s="0" t="s">
        <v>3089</v>
      </c>
      <c r="G14" s="0" t="s">
        <v>160</v>
      </c>
    </row>
    <row customHeight="1" ht="11.25">
      <c r="A15" s="429" t="s">
        <v>16</v>
      </c>
      <c r="B15" s="0" t="s">
        <v>3085</v>
      </c>
      <c r="C15" s="0" t="s">
        <v>3086</v>
      </c>
      <c r="D15" s="0" t="s">
        <v>3113</v>
      </c>
      <c r="E15" s="0" t="s">
        <v>3114</v>
      </c>
      <c r="F15" s="0" t="s">
        <v>3089</v>
      </c>
      <c r="G15" s="0" t="s">
        <v>165</v>
      </c>
    </row>
    <row customHeight="1" ht="11.25">
      <c r="A16" s="429" t="s">
        <v>16</v>
      </c>
      <c r="B16" s="0" t="s">
        <v>3085</v>
      </c>
      <c r="C16" s="0" t="s">
        <v>3086</v>
      </c>
      <c r="D16" s="0" t="s">
        <v>3115</v>
      </c>
      <c r="E16" s="0" t="s">
        <v>3116</v>
      </c>
      <c r="F16" s="0" t="s">
        <v>3089</v>
      </c>
      <c r="G16" s="0" t="s">
        <v>170</v>
      </c>
    </row>
    <row customHeight="1" ht="11.25">
      <c r="A17" s="429" t="s">
        <v>16</v>
      </c>
      <c r="B17" s="0" t="s">
        <v>3117</v>
      </c>
      <c r="C17" s="0" t="s">
        <v>3118</v>
      </c>
      <c r="D17" s="0" t="s">
        <v>3117</v>
      </c>
      <c r="E17" s="0" t="s">
        <v>3118</v>
      </c>
      <c r="F17" s="0" t="s">
        <v>3090</v>
      </c>
      <c r="G17" s="0" t="s">
        <v>175</v>
      </c>
    </row>
    <row customHeight="1" ht="11.25">
      <c r="A18" s="429" t="s">
        <v>16</v>
      </c>
      <c r="B18" s="0" t="s">
        <v>3117</v>
      </c>
      <c r="C18" s="0" t="s">
        <v>3118</v>
      </c>
      <c r="D18" s="0" t="s">
        <v>3119</v>
      </c>
      <c r="E18" s="0" t="s">
        <v>3120</v>
      </c>
      <c r="F18" s="0" t="s">
        <v>3089</v>
      </c>
      <c r="G18" s="0" t="s">
        <v>180</v>
      </c>
    </row>
    <row customHeight="1" ht="11.25">
      <c r="A19" s="429" t="s">
        <v>16</v>
      </c>
      <c r="B19" s="0" t="s">
        <v>3117</v>
      </c>
      <c r="C19" s="0" t="s">
        <v>3118</v>
      </c>
      <c r="D19" s="0" t="s">
        <v>3121</v>
      </c>
      <c r="E19" s="0" t="s">
        <v>3122</v>
      </c>
      <c r="F19" s="0" t="s">
        <v>3089</v>
      </c>
      <c r="G19" s="0" t="s">
        <v>1630</v>
      </c>
    </row>
    <row customHeight="1" ht="11.25">
      <c r="A20" s="429" t="s">
        <v>16</v>
      </c>
      <c r="B20" s="0" t="s">
        <v>3117</v>
      </c>
      <c r="C20" s="0" t="s">
        <v>3118</v>
      </c>
      <c r="D20" s="0" t="s">
        <v>3123</v>
      </c>
      <c r="E20" s="0" t="s">
        <v>3124</v>
      </c>
      <c r="F20" s="0" t="s">
        <v>3089</v>
      </c>
      <c r="G20" s="0" t="s">
        <v>1642</v>
      </c>
    </row>
    <row customHeight="1" ht="11.25">
      <c r="A21" s="429" t="s">
        <v>16</v>
      </c>
      <c r="B21" s="0" t="s">
        <v>3117</v>
      </c>
      <c r="C21" s="0" t="s">
        <v>3118</v>
      </c>
      <c r="D21" s="0" t="s">
        <v>3125</v>
      </c>
      <c r="E21" s="0" t="s">
        <v>3126</v>
      </c>
      <c r="F21" s="0" t="s">
        <v>3089</v>
      </c>
      <c r="G21" s="0" t="s">
        <v>1651</v>
      </c>
    </row>
    <row customHeight="1" ht="11.25">
      <c r="A22" s="429" t="s">
        <v>16</v>
      </c>
      <c r="B22" s="0" t="s">
        <v>3117</v>
      </c>
      <c r="C22" s="0" t="s">
        <v>3118</v>
      </c>
      <c r="D22" s="0" t="s">
        <v>3127</v>
      </c>
      <c r="E22" s="0" t="s">
        <v>3128</v>
      </c>
      <c r="F22" s="0" t="s">
        <v>3089</v>
      </c>
      <c r="G22" s="0" t="s">
        <v>1667</v>
      </c>
    </row>
    <row customHeight="1" ht="11.25">
      <c r="A23" s="429" t="s">
        <v>16</v>
      </c>
      <c r="B23" s="0" t="s">
        <v>3117</v>
      </c>
      <c r="C23" s="0" t="s">
        <v>3118</v>
      </c>
      <c r="D23" s="0" t="s">
        <v>3129</v>
      </c>
      <c r="E23" s="0" t="s">
        <v>3130</v>
      </c>
      <c r="F23" s="0" t="s">
        <v>3089</v>
      </c>
      <c r="G23" s="0" t="s">
        <v>1674</v>
      </c>
    </row>
    <row customHeight="1" ht="11.25">
      <c r="A24" s="429" t="s">
        <v>16</v>
      </c>
      <c r="B24" s="0" t="s">
        <v>3117</v>
      </c>
      <c r="C24" s="0" t="s">
        <v>3118</v>
      </c>
      <c r="D24" s="0" t="s">
        <v>3131</v>
      </c>
      <c r="E24" s="0" t="s">
        <v>3132</v>
      </c>
      <c r="F24" s="0" t="s">
        <v>3089</v>
      </c>
      <c r="G24" s="0" t="s">
        <v>1682</v>
      </c>
    </row>
    <row customHeight="1" ht="11.25">
      <c r="A25" s="429" t="s">
        <v>16</v>
      </c>
      <c r="B25" s="0" t="s">
        <v>3133</v>
      </c>
      <c r="C25" s="0" t="s">
        <v>3134</v>
      </c>
      <c r="D25" s="0" t="s">
        <v>3135</v>
      </c>
      <c r="E25" s="0" t="s">
        <v>3136</v>
      </c>
      <c r="F25" s="0" t="s">
        <v>3089</v>
      </c>
      <c r="G25" s="0" t="s">
        <v>1689</v>
      </c>
    </row>
    <row customHeight="1" ht="11.25">
      <c r="A26" s="429" t="s">
        <v>16</v>
      </c>
      <c r="B26" s="0" t="s">
        <v>3133</v>
      </c>
      <c r="C26" s="0" t="s">
        <v>3134</v>
      </c>
      <c r="D26" s="0" t="s">
        <v>3137</v>
      </c>
      <c r="E26" s="0" t="s">
        <v>3138</v>
      </c>
      <c r="F26" s="0" t="s">
        <v>3089</v>
      </c>
      <c r="G26" s="0" t="s">
        <v>1693</v>
      </c>
    </row>
    <row customHeight="1" ht="11.25">
      <c r="A27" s="429" t="s">
        <v>16</v>
      </c>
      <c r="B27" s="0" t="s">
        <v>3133</v>
      </c>
      <c r="C27" s="0" t="s">
        <v>3134</v>
      </c>
      <c r="D27" s="0" t="s">
        <v>3133</v>
      </c>
      <c r="E27" s="0" t="s">
        <v>3134</v>
      </c>
      <c r="F27" s="0" t="s">
        <v>3090</v>
      </c>
      <c r="G27" s="0" t="s">
        <v>1698</v>
      </c>
    </row>
    <row customHeight="1" ht="11.25">
      <c r="A28" s="429" t="s">
        <v>16</v>
      </c>
      <c r="B28" s="0" t="s">
        <v>3133</v>
      </c>
      <c r="C28" s="0" t="s">
        <v>3134</v>
      </c>
      <c r="D28" s="0" t="s">
        <v>3139</v>
      </c>
      <c r="E28" s="0" t="s">
        <v>3140</v>
      </c>
      <c r="F28" s="0" t="s">
        <v>3089</v>
      </c>
      <c r="G28" s="0" t="s">
        <v>1706</v>
      </c>
    </row>
    <row customHeight="1" ht="11.25">
      <c r="A29" s="429" t="s">
        <v>16</v>
      </c>
      <c r="B29" s="0" t="s">
        <v>3133</v>
      </c>
      <c r="C29" s="0" t="s">
        <v>3134</v>
      </c>
      <c r="D29" s="0" t="s">
        <v>3141</v>
      </c>
      <c r="E29" s="0" t="s">
        <v>3142</v>
      </c>
      <c r="F29" s="0" t="s">
        <v>3089</v>
      </c>
      <c r="G29" s="0" t="s">
        <v>1708</v>
      </c>
    </row>
    <row customHeight="1" ht="11.25">
      <c r="A30" s="429" t="s">
        <v>16</v>
      </c>
      <c r="B30" s="0" t="s">
        <v>3133</v>
      </c>
      <c r="C30" s="0" t="s">
        <v>3134</v>
      </c>
      <c r="D30" s="0" t="s">
        <v>3143</v>
      </c>
      <c r="E30" s="0" t="s">
        <v>3144</v>
      </c>
      <c r="F30" s="0" t="s">
        <v>3089</v>
      </c>
      <c r="G30" s="0" t="s">
        <v>1711</v>
      </c>
    </row>
    <row customHeight="1" ht="11.25">
      <c r="A31" s="429" t="s">
        <v>16</v>
      </c>
      <c r="B31" s="0" t="s">
        <v>3133</v>
      </c>
      <c r="C31" s="0" t="s">
        <v>3134</v>
      </c>
      <c r="D31" s="0" t="s">
        <v>3145</v>
      </c>
      <c r="E31" s="0" t="s">
        <v>3146</v>
      </c>
      <c r="F31" s="0" t="s">
        <v>3089</v>
      </c>
      <c r="G31" s="0" t="s">
        <v>1716</v>
      </c>
    </row>
    <row customHeight="1" ht="11.25">
      <c r="A32" s="429" t="s">
        <v>16</v>
      </c>
      <c r="B32" s="0" t="s">
        <v>3133</v>
      </c>
      <c r="C32" s="0" t="s">
        <v>3134</v>
      </c>
      <c r="D32" s="0" t="s">
        <v>3147</v>
      </c>
      <c r="E32" s="0" t="s">
        <v>3148</v>
      </c>
      <c r="F32" s="0" t="s">
        <v>3089</v>
      </c>
      <c r="G32" s="0" t="s">
        <v>1717</v>
      </c>
    </row>
    <row customHeight="1" ht="11.25">
      <c r="A33" s="429" t="s">
        <v>16</v>
      </c>
      <c r="B33" s="0" t="s">
        <v>3133</v>
      </c>
      <c r="C33" s="0" t="s">
        <v>3134</v>
      </c>
      <c r="D33" s="0" t="s">
        <v>3149</v>
      </c>
      <c r="E33" s="0" t="s">
        <v>3150</v>
      </c>
      <c r="F33" s="0" t="s">
        <v>3089</v>
      </c>
      <c r="G33" s="0" t="s">
        <v>1719</v>
      </c>
    </row>
    <row customHeight="1" ht="11.25">
      <c r="A34" s="429" t="s">
        <v>16</v>
      </c>
      <c r="B34" s="0" t="s">
        <v>3133</v>
      </c>
      <c r="C34" s="0" t="s">
        <v>3134</v>
      </c>
      <c r="D34" s="0" t="s">
        <v>3151</v>
      </c>
      <c r="E34" s="0" t="s">
        <v>3152</v>
      </c>
      <c r="F34" s="0" t="s">
        <v>3089</v>
      </c>
      <c r="G34" s="0" t="s">
        <v>1721</v>
      </c>
    </row>
    <row customHeight="1" ht="11.25">
      <c r="A35" s="429" t="s">
        <v>16</v>
      </c>
      <c r="B35" s="0" t="s">
        <v>3133</v>
      </c>
      <c r="C35" s="0" t="s">
        <v>3134</v>
      </c>
      <c r="D35" s="0" t="s">
        <v>3153</v>
      </c>
      <c r="E35" s="0" t="s">
        <v>3154</v>
      </c>
      <c r="F35" s="0" t="s">
        <v>3089</v>
      </c>
      <c r="G35" s="0" t="s">
        <v>1726</v>
      </c>
    </row>
    <row customHeight="1" ht="11.25">
      <c r="A36" s="429" t="s">
        <v>16</v>
      </c>
      <c r="B36" s="0" t="s">
        <v>3133</v>
      </c>
      <c r="C36" s="0" t="s">
        <v>3134</v>
      </c>
      <c r="D36" s="0" t="s">
        <v>3155</v>
      </c>
      <c r="E36" s="0" t="s">
        <v>3156</v>
      </c>
      <c r="F36" s="0" t="s">
        <v>3089</v>
      </c>
      <c r="G36" s="0" t="s">
        <v>1731</v>
      </c>
    </row>
    <row customHeight="1" ht="11.25">
      <c r="A37" s="429" t="s">
        <v>16</v>
      </c>
      <c r="B37" s="0" t="s">
        <v>3133</v>
      </c>
      <c r="C37" s="0" t="s">
        <v>3134</v>
      </c>
      <c r="D37" s="0" t="s">
        <v>3157</v>
      </c>
      <c r="E37" s="0" t="s">
        <v>3158</v>
      </c>
      <c r="F37" s="0" t="s">
        <v>3159</v>
      </c>
      <c r="G37" s="0" t="s">
        <v>1735</v>
      </c>
    </row>
    <row customHeight="1" ht="11.25">
      <c r="A38" s="429" t="s">
        <v>16</v>
      </c>
      <c r="B38" s="0" t="s">
        <v>3133</v>
      </c>
      <c r="C38" s="0" t="s">
        <v>3134</v>
      </c>
      <c r="D38" s="0" t="s">
        <v>3160</v>
      </c>
      <c r="E38" s="0" t="s">
        <v>3161</v>
      </c>
      <c r="F38" s="0" t="s">
        <v>3159</v>
      </c>
      <c r="G38" s="0" t="s">
        <v>1743</v>
      </c>
    </row>
    <row customHeight="1" ht="11.25">
      <c r="A39" s="429" t="s">
        <v>16</v>
      </c>
      <c r="B39" s="0" t="s">
        <v>3162</v>
      </c>
      <c r="C39" s="0" t="s">
        <v>3163</v>
      </c>
      <c r="D39" s="0" t="s">
        <v>3164</v>
      </c>
      <c r="E39" s="0" t="s">
        <v>3165</v>
      </c>
      <c r="F39" s="0" t="s">
        <v>3089</v>
      </c>
      <c r="G39" s="0" t="s">
        <v>1749</v>
      </c>
    </row>
    <row customHeight="1" ht="11.25">
      <c r="A40" s="429" t="s">
        <v>16</v>
      </c>
      <c r="B40" s="0" t="s">
        <v>3162</v>
      </c>
      <c r="C40" s="0" t="s">
        <v>3163</v>
      </c>
      <c r="D40" s="0" t="s">
        <v>3166</v>
      </c>
      <c r="E40" s="0" t="s">
        <v>3167</v>
      </c>
      <c r="F40" s="0" t="s">
        <v>3089</v>
      </c>
      <c r="G40" s="0" t="s">
        <v>1754</v>
      </c>
    </row>
    <row customHeight="1" ht="11.25">
      <c r="A41" s="429" t="s">
        <v>16</v>
      </c>
      <c r="B41" s="0" t="s">
        <v>3162</v>
      </c>
      <c r="C41" s="0" t="s">
        <v>3163</v>
      </c>
      <c r="D41" s="0" t="s">
        <v>3162</v>
      </c>
      <c r="E41" s="0" t="s">
        <v>3163</v>
      </c>
      <c r="F41" s="0" t="s">
        <v>3090</v>
      </c>
      <c r="G41" s="0" t="s">
        <v>1758</v>
      </c>
    </row>
    <row customHeight="1" ht="11.25">
      <c r="A42" s="429" t="s">
        <v>16</v>
      </c>
      <c r="B42" s="0" t="s">
        <v>3162</v>
      </c>
      <c r="C42" s="0" t="s">
        <v>3163</v>
      </c>
      <c r="D42" s="0" t="s">
        <v>3168</v>
      </c>
      <c r="E42" s="0" t="s">
        <v>3169</v>
      </c>
      <c r="F42" s="0" t="s">
        <v>3089</v>
      </c>
      <c r="G42" s="0" t="s">
        <v>1761</v>
      </c>
    </row>
    <row customHeight="1" ht="11.25">
      <c r="A43" s="429" t="s">
        <v>16</v>
      </c>
      <c r="B43" s="0" t="s">
        <v>3162</v>
      </c>
      <c r="C43" s="0" t="s">
        <v>3163</v>
      </c>
      <c r="D43" s="0" t="s">
        <v>3170</v>
      </c>
      <c r="E43" s="0" t="s">
        <v>3171</v>
      </c>
      <c r="F43" s="0" t="s">
        <v>3089</v>
      </c>
      <c r="G43" s="0" t="s">
        <v>1768</v>
      </c>
    </row>
    <row customHeight="1" ht="11.25">
      <c r="A44" s="429" t="s">
        <v>16</v>
      </c>
      <c r="B44" s="0" t="s">
        <v>3162</v>
      </c>
      <c r="C44" s="0" t="s">
        <v>3163</v>
      </c>
      <c r="D44" s="0" t="s">
        <v>3172</v>
      </c>
      <c r="E44" s="0" t="s">
        <v>3173</v>
      </c>
      <c r="F44" s="0" t="s">
        <v>3089</v>
      </c>
      <c r="G44" s="0" t="s">
        <v>1777</v>
      </c>
    </row>
    <row customHeight="1" ht="11.25">
      <c r="A45" s="429" t="s">
        <v>16</v>
      </c>
      <c r="B45" s="0" t="s">
        <v>3162</v>
      </c>
      <c r="C45" s="0" t="s">
        <v>3163</v>
      </c>
      <c r="D45" s="0" t="s">
        <v>3174</v>
      </c>
      <c r="E45" s="0" t="s">
        <v>3175</v>
      </c>
      <c r="F45" s="0" t="s">
        <v>3089</v>
      </c>
      <c r="G45" s="0" t="s">
        <v>1782</v>
      </c>
    </row>
    <row customHeight="1" ht="11.25">
      <c r="A46" s="429" t="s">
        <v>16</v>
      </c>
      <c r="B46" s="0" t="s">
        <v>3162</v>
      </c>
      <c r="C46" s="0" t="s">
        <v>3163</v>
      </c>
      <c r="D46" s="0" t="s">
        <v>3176</v>
      </c>
      <c r="E46" s="0" t="s">
        <v>3177</v>
      </c>
      <c r="F46" s="0" t="s">
        <v>3089</v>
      </c>
      <c r="G46" s="0" t="s">
        <v>1786</v>
      </c>
    </row>
    <row customHeight="1" ht="11.25">
      <c r="A47" s="429" t="s">
        <v>16</v>
      </c>
      <c r="B47" s="0" t="s">
        <v>3162</v>
      </c>
      <c r="C47" s="0" t="s">
        <v>3163</v>
      </c>
      <c r="D47" s="0" t="s">
        <v>3178</v>
      </c>
      <c r="E47" s="0" t="s">
        <v>3179</v>
      </c>
      <c r="F47" s="0" t="s">
        <v>3089</v>
      </c>
      <c r="G47" s="0" t="s">
        <v>1792</v>
      </c>
    </row>
    <row customHeight="1" ht="11.25">
      <c r="A48" s="429" t="s">
        <v>16</v>
      </c>
      <c r="B48" s="0" t="s">
        <v>3162</v>
      </c>
      <c r="C48" s="0" t="s">
        <v>3163</v>
      </c>
      <c r="D48" s="0" t="s">
        <v>3180</v>
      </c>
      <c r="E48" s="0" t="s">
        <v>3181</v>
      </c>
      <c r="F48" s="0" t="s">
        <v>3089</v>
      </c>
      <c r="G48" s="0" t="s">
        <v>1797</v>
      </c>
    </row>
    <row customHeight="1" ht="11.25">
      <c r="A49" s="429" t="s">
        <v>16</v>
      </c>
      <c r="B49" s="0" t="s">
        <v>3162</v>
      </c>
      <c r="C49" s="0" t="s">
        <v>3163</v>
      </c>
      <c r="D49" s="0" t="s">
        <v>3182</v>
      </c>
      <c r="E49" s="0" t="s">
        <v>3183</v>
      </c>
      <c r="F49" s="0" t="s">
        <v>3089</v>
      </c>
      <c r="G49" s="0" t="s">
        <v>1800</v>
      </c>
    </row>
    <row customHeight="1" ht="11.25">
      <c r="A50" s="429" t="s">
        <v>16</v>
      </c>
      <c r="B50" s="0" t="s">
        <v>3162</v>
      </c>
      <c r="C50" s="0" t="s">
        <v>3163</v>
      </c>
      <c r="D50" s="0" t="s">
        <v>3184</v>
      </c>
      <c r="E50" s="0" t="s">
        <v>3185</v>
      </c>
      <c r="F50" s="0" t="s">
        <v>3089</v>
      </c>
      <c r="G50" s="0" t="s">
        <v>1804</v>
      </c>
    </row>
    <row customHeight="1" ht="11.25">
      <c r="A51" s="429" t="s">
        <v>16</v>
      </c>
      <c r="B51" s="0" t="s">
        <v>3162</v>
      </c>
      <c r="C51" s="0" t="s">
        <v>3163</v>
      </c>
      <c r="D51" s="0" t="s">
        <v>3186</v>
      </c>
      <c r="E51" s="0" t="s">
        <v>3187</v>
      </c>
      <c r="F51" s="0" t="s">
        <v>3089</v>
      </c>
      <c r="G51" s="0" t="s">
        <v>1808</v>
      </c>
    </row>
    <row customHeight="1" ht="11.25">
      <c r="A52" s="429" t="s">
        <v>16</v>
      </c>
      <c r="B52" s="0" t="s">
        <v>3162</v>
      </c>
      <c r="C52" s="0" t="s">
        <v>3163</v>
      </c>
      <c r="D52" s="0" t="s">
        <v>3188</v>
      </c>
      <c r="E52" s="0" t="s">
        <v>3189</v>
      </c>
      <c r="F52" s="0" t="s">
        <v>3089</v>
      </c>
      <c r="G52" s="0" t="s">
        <v>1812</v>
      </c>
    </row>
    <row customHeight="1" ht="11.25">
      <c r="A53" s="429" t="s">
        <v>16</v>
      </c>
      <c r="B53" s="0" t="s">
        <v>3162</v>
      </c>
      <c r="C53" s="0" t="s">
        <v>3163</v>
      </c>
      <c r="D53" s="0" t="s">
        <v>3190</v>
      </c>
      <c r="E53" s="0" t="s">
        <v>3191</v>
      </c>
      <c r="F53" s="0" t="s">
        <v>3089</v>
      </c>
      <c r="G53" s="0" t="s">
        <v>1814</v>
      </c>
    </row>
    <row customHeight="1" ht="11.25">
      <c r="A54" s="429" t="s">
        <v>16</v>
      </c>
      <c r="B54" s="0" t="s">
        <v>3162</v>
      </c>
      <c r="C54" s="0" t="s">
        <v>3163</v>
      </c>
      <c r="D54" s="0" t="s">
        <v>3192</v>
      </c>
      <c r="E54" s="0" t="s">
        <v>3193</v>
      </c>
      <c r="F54" s="0" t="s">
        <v>3159</v>
      </c>
      <c r="G54" s="0" t="s">
        <v>1817</v>
      </c>
    </row>
    <row customHeight="1" ht="11.25">
      <c r="A55" s="429" t="s">
        <v>16</v>
      </c>
      <c r="B55" s="0" t="s">
        <v>3194</v>
      </c>
      <c r="C55" s="0" t="s">
        <v>3195</v>
      </c>
      <c r="D55" s="0" t="s">
        <v>3196</v>
      </c>
      <c r="E55" s="0" t="s">
        <v>3197</v>
      </c>
      <c r="F55" s="0" t="s">
        <v>3089</v>
      </c>
      <c r="G55" s="0" t="s">
        <v>1822</v>
      </c>
    </row>
    <row customHeight="1" ht="11.25">
      <c r="A56" s="429" t="s">
        <v>16</v>
      </c>
      <c r="B56" s="0" t="s">
        <v>3194</v>
      </c>
      <c r="C56" s="0" t="s">
        <v>3195</v>
      </c>
      <c r="D56" s="0" t="s">
        <v>3194</v>
      </c>
      <c r="E56" s="0" t="s">
        <v>3195</v>
      </c>
      <c r="F56" s="0" t="s">
        <v>3090</v>
      </c>
      <c r="G56" s="0" t="s">
        <v>1825</v>
      </c>
    </row>
    <row customHeight="1" ht="11.25">
      <c r="A57" s="429" t="s">
        <v>16</v>
      </c>
      <c r="B57" s="0" t="s">
        <v>3194</v>
      </c>
      <c r="C57" s="0" t="s">
        <v>3195</v>
      </c>
      <c r="D57" s="0" t="s">
        <v>3198</v>
      </c>
      <c r="E57" s="0" t="s">
        <v>3199</v>
      </c>
      <c r="F57" s="0" t="s">
        <v>3089</v>
      </c>
      <c r="G57" s="0" t="s">
        <v>1828</v>
      </c>
    </row>
    <row customHeight="1" ht="11.25">
      <c r="A58" s="429" t="s">
        <v>16</v>
      </c>
      <c r="B58" s="0" t="s">
        <v>3194</v>
      </c>
      <c r="C58" s="0" t="s">
        <v>3195</v>
      </c>
      <c r="D58" s="0" t="s">
        <v>3200</v>
      </c>
      <c r="E58" s="0" t="s">
        <v>3201</v>
      </c>
      <c r="F58" s="0" t="s">
        <v>3089</v>
      </c>
      <c r="G58" s="0" t="s">
        <v>1831</v>
      </c>
    </row>
    <row customHeight="1" ht="11.25">
      <c r="A59" s="429" t="s">
        <v>16</v>
      </c>
      <c r="B59" s="0" t="s">
        <v>3194</v>
      </c>
      <c r="C59" s="0" t="s">
        <v>3195</v>
      </c>
      <c r="D59" s="0" t="s">
        <v>3202</v>
      </c>
      <c r="E59" s="0" t="s">
        <v>3203</v>
      </c>
      <c r="F59" s="0" t="s">
        <v>3089</v>
      </c>
      <c r="G59" s="0" t="s">
        <v>1835</v>
      </c>
    </row>
    <row customHeight="1" ht="11.25">
      <c r="A60" s="429" t="s">
        <v>16</v>
      </c>
      <c r="B60" s="0" t="s">
        <v>3194</v>
      </c>
      <c r="C60" s="0" t="s">
        <v>3195</v>
      </c>
      <c r="D60" s="0" t="s">
        <v>3204</v>
      </c>
      <c r="E60" s="0" t="s">
        <v>3205</v>
      </c>
      <c r="F60" s="0" t="s">
        <v>3089</v>
      </c>
      <c r="G60" s="0" t="s">
        <v>1838</v>
      </c>
    </row>
    <row customHeight="1" ht="11.25">
      <c r="A61" s="429" t="s">
        <v>16</v>
      </c>
      <c r="B61" s="0" t="s">
        <v>3194</v>
      </c>
      <c r="C61" s="0" t="s">
        <v>3195</v>
      </c>
      <c r="D61" s="0" t="s">
        <v>3206</v>
      </c>
      <c r="E61" s="0" t="s">
        <v>3207</v>
      </c>
      <c r="F61" s="0" t="s">
        <v>3089</v>
      </c>
      <c r="G61" s="0" t="s">
        <v>3208</v>
      </c>
    </row>
    <row customHeight="1" ht="11.25">
      <c r="A62" s="429" t="s">
        <v>16</v>
      </c>
      <c r="B62" s="0" t="s">
        <v>3194</v>
      </c>
      <c r="C62" s="0" t="s">
        <v>3195</v>
      </c>
      <c r="D62" s="0" t="s">
        <v>3209</v>
      </c>
      <c r="E62" s="0" t="s">
        <v>3210</v>
      </c>
      <c r="F62" s="0" t="s">
        <v>3089</v>
      </c>
      <c r="G62" s="0" t="s">
        <v>3211</v>
      </c>
    </row>
    <row customHeight="1" ht="11.25">
      <c r="A63" s="429" t="s">
        <v>16</v>
      </c>
      <c r="B63" s="0" t="s">
        <v>3194</v>
      </c>
      <c r="C63" s="0" t="s">
        <v>3195</v>
      </c>
      <c r="D63" s="0" t="s">
        <v>3212</v>
      </c>
      <c r="E63" s="0" t="s">
        <v>3213</v>
      </c>
      <c r="F63" s="0" t="s">
        <v>3214</v>
      </c>
      <c r="G63" s="0" t="s">
        <v>3215</v>
      </c>
    </row>
    <row customHeight="1" ht="11.25">
      <c r="A64" s="429" t="s">
        <v>16</v>
      </c>
      <c r="B64" s="0" t="s">
        <v>3216</v>
      </c>
      <c r="C64" s="0" t="s">
        <v>3217</v>
      </c>
      <c r="D64" s="0" t="s">
        <v>3218</v>
      </c>
      <c r="E64" s="0" t="s">
        <v>3219</v>
      </c>
      <c r="F64" s="0" t="s">
        <v>3089</v>
      </c>
      <c r="G64" s="0" t="s">
        <v>3220</v>
      </c>
    </row>
    <row customHeight="1" ht="11.25">
      <c r="A65" s="429" t="s">
        <v>16</v>
      </c>
      <c r="B65" s="0" t="s">
        <v>3216</v>
      </c>
      <c r="C65" s="0" t="s">
        <v>3217</v>
      </c>
      <c r="D65" s="0" t="s">
        <v>3221</v>
      </c>
      <c r="E65" s="0" t="s">
        <v>3222</v>
      </c>
      <c r="F65" s="0" t="s">
        <v>3089</v>
      </c>
      <c r="G65" s="0" t="s">
        <v>3223</v>
      </c>
    </row>
    <row customHeight="1" ht="11.25">
      <c r="A66" s="429" t="s">
        <v>16</v>
      </c>
      <c r="B66" s="0" t="s">
        <v>3216</v>
      </c>
      <c r="C66" s="0" t="s">
        <v>3217</v>
      </c>
      <c r="D66" s="0" t="s">
        <v>3224</v>
      </c>
      <c r="E66" s="0" t="s">
        <v>3225</v>
      </c>
      <c r="F66" s="0" t="s">
        <v>3089</v>
      </c>
      <c r="G66" s="0" t="s">
        <v>3226</v>
      </c>
    </row>
    <row customHeight="1" ht="11.25">
      <c r="A67" s="429" t="s">
        <v>16</v>
      </c>
      <c r="B67" s="0" t="s">
        <v>3216</v>
      </c>
      <c r="C67" s="0" t="s">
        <v>3217</v>
      </c>
      <c r="D67" s="0" t="s">
        <v>3227</v>
      </c>
      <c r="E67" s="0" t="s">
        <v>3228</v>
      </c>
      <c r="F67" s="0" t="s">
        <v>3089</v>
      </c>
      <c r="G67" s="0" t="s">
        <v>2157</v>
      </c>
    </row>
    <row customHeight="1" ht="11.25">
      <c r="A68" s="429" t="s">
        <v>16</v>
      </c>
      <c r="B68" s="0" t="s">
        <v>3216</v>
      </c>
      <c r="C68" s="0" t="s">
        <v>3217</v>
      </c>
      <c r="D68" s="0" t="s">
        <v>3216</v>
      </c>
      <c r="E68" s="0" t="s">
        <v>3217</v>
      </c>
      <c r="F68" s="0" t="s">
        <v>3090</v>
      </c>
      <c r="G68" s="0" t="s">
        <v>3229</v>
      </c>
    </row>
    <row customHeight="1" ht="11.25">
      <c r="A69" s="429" t="s">
        <v>16</v>
      </c>
      <c r="B69" s="0" t="s">
        <v>3216</v>
      </c>
      <c r="C69" s="0" t="s">
        <v>3217</v>
      </c>
      <c r="D69" s="0" t="s">
        <v>3230</v>
      </c>
      <c r="E69" s="0" t="s">
        <v>3231</v>
      </c>
      <c r="F69" s="0" t="s">
        <v>3089</v>
      </c>
      <c r="G69" s="0" t="s">
        <v>2360</v>
      </c>
    </row>
    <row customHeight="1" ht="11.25">
      <c r="A70" s="429" t="s">
        <v>16</v>
      </c>
      <c r="B70" s="0" t="s">
        <v>3216</v>
      </c>
      <c r="C70" s="0" t="s">
        <v>3217</v>
      </c>
      <c r="D70" s="0" t="s">
        <v>3232</v>
      </c>
      <c r="E70" s="0" t="s">
        <v>3233</v>
      </c>
      <c r="F70" s="0" t="s">
        <v>3089</v>
      </c>
      <c r="G70" s="0" t="s">
        <v>3234</v>
      </c>
    </row>
    <row customHeight="1" ht="11.25">
      <c r="A71" s="429" t="s">
        <v>16</v>
      </c>
      <c r="B71" s="0" t="s">
        <v>3216</v>
      </c>
      <c r="C71" s="0" t="s">
        <v>3217</v>
      </c>
      <c r="D71" s="0" t="s">
        <v>3235</v>
      </c>
      <c r="E71" s="0" t="s">
        <v>3236</v>
      </c>
      <c r="F71" s="0" t="s">
        <v>3089</v>
      </c>
      <c r="G71" s="0" t="s">
        <v>3237</v>
      </c>
    </row>
    <row customHeight="1" ht="11.25">
      <c r="A72" s="429" t="s">
        <v>16</v>
      </c>
      <c r="B72" s="0" t="s">
        <v>3216</v>
      </c>
      <c r="C72" s="0" t="s">
        <v>3217</v>
      </c>
      <c r="D72" s="0" t="s">
        <v>3238</v>
      </c>
      <c r="E72" s="0" t="s">
        <v>3239</v>
      </c>
      <c r="F72" s="0" t="s">
        <v>3089</v>
      </c>
      <c r="G72" s="0" t="s">
        <v>3240</v>
      </c>
    </row>
    <row customHeight="1" ht="11.25">
      <c r="A73" s="429" t="s">
        <v>16</v>
      </c>
      <c r="B73" s="0" t="s">
        <v>3216</v>
      </c>
      <c r="C73" s="0" t="s">
        <v>3217</v>
      </c>
      <c r="D73" s="0" t="s">
        <v>3241</v>
      </c>
      <c r="E73" s="0" t="s">
        <v>3242</v>
      </c>
      <c r="F73" s="0" t="s">
        <v>3089</v>
      </c>
      <c r="G73" s="0" t="s">
        <v>3243</v>
      </c>
    </row>
    <row customHeight="1" ht="11.25">
      <c r="A74" s="429" t="s">
        <v>16</v>
      </c>
      <c r="B74" s="0" t="s">
        <v>3216</v>
      </c>
      <c r="C74" s="0" t="s">
        <v>3217</v>
      </c>
      <c r="D74" s="0" t="s">
        <v>173</v>
      </c>
      <c r="E74" s="0" t="s">
        <v>3244</v>
      </c>
      <c r="F74" s="0" t="s">
        <v>3089</v>
      </c>
      <c r="G74" s="0" t="s">
        <v>3245</v>
      </c>
    </row>
    <row customHeight="1" ht="11.25">
      <c r="A75" s="429" t="s">
        <v>16</v>
      </c>
      <c r="B75" s="0" t="s">
        <v>3216</v>
      </c>
      <c r="C75" s="0" t="s">
        <v>3217</v>
      </c>
      <c r="D75" s="0" t="s">
        <v>3246</v>
      </c>
      <c r="E75" s="0" t="s">
        <v>3247</v>
      </c>
      <c r="F75" s="0" t="s">
        <v>3089</v>
      </c>
      <c r="G75" s="0" t="s">
        <v>3248</v>
      </c>
    </row>
    <row customHeight="1" ht="11.25">
      <c r="A76" s="429" t="s">
        <v>16</v>
      </c>
      <c r="B76" s="0" t="s">
        <v>3216</v>
      </c>
      <c r="C76" s="0" t="s">
        <v>3217</v>
      </c>
      <c r="D76" s="0" t="s">
        <v>3249</v>
      </c>
      <c r="E76" s="0" t="s">
        <v>3250</v>
      </c>
      <c r="F76" s="0" t="s">
        <v>3089</v>
      </c>
      <c r="G76" s="0" t="s">
        <v>3251</v>
      </c>
    </row>
    <row customHeight="1" ht="11.25">
      <c r="A77" s="429" t="s">
        <v>16</v>
      </c>
      <c r="B77" s="0" t="s">
        <v>3216</v>
      </c>
      <c r="C77" s="0" t="s">
        <v>3217</v>
      </c>
      <c r="D77" s="0" t="s">
        <v>3252</v>
      </c>
      <c r="E77" s="0" t="s">
        <v>3253</v>
      </c>
      <c r="F77" s="0" t="s">
        <v>3159</v>
      </c>
      <c r="G77" s="0" t="s">
        <v>3254</v>
      </c>
    </row>
    <row customHeight="1" ht="11.25">
      <c r="A78" s="429" t="s">
        <v>16</v>
      </c>
      <c r="B78" s="0" t="s">
        <v>3255</v>
      </c>
      <c r="C78" s="0" t="s">
        <v>3256</v>
      </c>
      <c r="D78" s="0" t="s">
        <v>3257</v>
      </c>
      <c r="E78" s="0" t="s">
        <v>3258</v>
      </c>
      <c r="F78" s="0" t="s">
        <v>3089</v>
      </c>
      <c r="G78" s="0" t="s">
        <v>3259</v>
      </c>
    </row>
    <row customHeight="1" ht="11.25">
      <c r="A79" s="429" t="s">
        <v>16</v>
      </c>
      <c r="B79" s="0" t="s">
        <v>3255</v>
      </c>
      <c r="C79" s="0" t="s">
        <v>3256</v>
      </c>
      <c r="D79" s="0" t="s">
        <v>3260</v>
      </c>
      <c r="E79" s="0" t="s">
        <v>3261</v>
      </c>
      <c r="F79" s="0" t="s">
        <v>3089</v>
      </c>
      <c r="G79" s="0" t="s">
        <v>3262</v>
      </c>
    </row>
    <row customHeight="1" ht="11.25">
      <c r="A80" s="429" t="s">
        <v>16</v>
      </c>
      <c r="B80" s="0" t="s">
        <v>3255</v>
      </c>
      <c r="C80" s="0" t="s">
        <v>3256</v>
      </c>
      <c r="D80" s="0" t="s">
        <v>3263</v>
      </c>
      <c r="E80" s="0" t="s">
        <v>3264</v>
      </c>
      <c r="F80" s="0" t="s">
        <v>3089</v>
      </c>
      <c r="G80" s="0" t="s">
        <v>3265</v>
      </c>
    </row>
    <row customHeight="1" ht="11.25">
      <c r="A81" s="429" t="s">
        <v>16</v>
      </c>
      <c r="B81" s="0" t="s">
        <v>3255</v>
      </c>
      <c r="C81" s="0" t="s">
        <v>3256</v>
      </c>
      <c r="D81" s="0" t="s">
        <v>3266</v>
      </c>
      <c r="E81" s="0" t="s">
        <v>3267</v>
      </c>
      <c r="F81" s="0" t="s">
        <v>3089</v>
      </c>
      <c r="G81" s="0" t="s">
        <v>3268</v>
      </c>
    </row>
    <row customHeight="1" ht="11.25">
      <c r="A82" s="429" t="s">
        <v>16</v>
      </c>
      <c r="B82" s="0" t="s">
        <v>3255</v>
      </c>
      <c r="C82" s="0" t="s">
        <v>3256</v>
      </c>
      <c r="D82" s="0" t="s">
        <v>3269</v>
      </c>
      <c r="E82" s="0" t="s">
        <v>3270</v>
      </c>
      <c r="F82" s="0" t="s">
        <v>3089</v>
      </c>
      <c r="G82" s="0" t="s">
        <v>3271</v>
      </c>
    </row>
    <row customHeight="1" ht="11.25">
      <c r="A83" s="429" t="s">
        <v>16</v>
      </c>
      <c r="B83" s="0" t="s">
        <v>3255</v>
      </c>
      <c r="C83" s="0" t="s">
        <v>3256</v>
      </c>
      <c r="D83" s="0" t="s">
        <v>3255</v>
      </c>
      <c r="E83" s="0" t="s">
        <v>3256</v>
      </c>
      <c r="F83" s="0" t="s">
        <v>3090</v>
      </c>
      <c r="G83" s="0" t="s">
        <v>3272</v>
      </c>
    </row>
    <row customHeight="1" ht="11.25">
      <c r="A84" s="429" t="s">
        <v>16</v>
      </c>
      <c r="B84" s="0" t="s">
        <v>3255</v>
      </c>
      <c r="C84" s="0" t="s">
        <v>3256</v>
      </c>
      <c r="D84" s="0" t="s">
        <v>3273</v>
      </c>
      <c r="E84" s="0" t="s">
        <v>3274</v>
      </c>
      <c r="F84" s="0" t="s">
        <v>3089</v>
      </c>
      <c r="G84" s="0" t="s">
        <v>3275</v>
      </c>
    </row>
    <row customHeight="1" ht="11.25">
      <c r="A85" s="429" t="s">
        <v>16</v>
      </c>
      <c r="B85" s="0" t="s">
        <v>3255</v>
      </c>
      <c r="C85" s="0" t="s">
        <v>3256</v>
      </c>
      <c r="D85" s="0" t="s">
        <v>3276</v>
      </c>
      <c r="E85" s="0" t="s">
        <v>3277</v>
      </c>
      <c r="F85" s="0" t="s">
        <v>3089</v>
      </c>
      <c r="G85" s="0" t="s">
        <v>3278</v>
      </c>
    </row>
    <row customHeight="1" ht="11.25">
      <c r="A86" s="429" t="s">
        <v>16</v>
      </c>
      <c r="B86" s="0" t="s">
        <v>3255</v>
      </c>
      <c r="C86" s="0" t="s">
        <v>3256</v>
      </c>
      <c r="D86" s="0" t="s">
        <v>3279</v>
      </c>
      <c r="E86" s="0" t="s">
        <v>3280</v>
      </c>
      <c r="F86" s="0" t="s">
        <v>3089</v>
      </c>
      <c r="G86" s="0" t="s">
        <v>3281</v>
      </c>
    </row>
    <row customHeight="1" ht="11.25">
      <c r="A87" s="429" t="s">
        <v>16</v>
      </c>
      <c r="B87" s="0" t="s">
        <v>3255</v>
      </c>
      <c r="C87" s="0" t="s">
        <v>3256</v>
      </c>
      <c r="D87" s="0" t="s">
        <v>3282</v>
      </c>
      <c r="E87" s="0" t="s">
        <v>3283</v>
      </c>
      <c r="F87" s="0" t="s">
        <v>3089</v>
      </c>
      <c r="G87" s="0" t="s">
        <v>3284</v>
      </c>
    </row>
    <row customHeight="1" ht="11.25">
      <c r="A88" s="429" t="s">
        <v>16</v>
      </c>
      <c r="B88" s="0" t="s">
        <v>3255</v>
      </c>
      <c r="C88" s="0" t="s">
        <v>3256</v>
      </c>
      <c r="D88" s="0" t="s">
        <v>3285</v>
      </c>
      <c r="E88" s="0" t="s">
        <v>3286</v>
      </c>
      <c r="F88" s="0" t="s">
        <v>3159</v>
      </c>
      <c r="G88" s="0" t="s">
        <v>3287</v>
      </c>
    </row>
    <row customHeight="1" ht="11.25">
      <c r="A89" s="429" t="s">
        <v>16</v>
      </c>
      <c r="B89" s="0" t="s">
        <v>3288</v>
      </c>
      <c r="C89" s="0" t="s">
        <v>3289</v>
      </c>
      <c r="D89" s="0" t="s">
        <v>3135</v>
      </c>
      <c r="E89" s="0" t="s">
        <v>3290</v>
      </c>
      <c r="F89" s="0" t="s">
        <v>3089</v>
      </c>
      <c r="G89" s="0" t="s">
        <v>3291</v>
      </c>
    </row>
    <row customHeight="1" ht="11.25">
      <c r="A90" s="429" t="s">
        <v>16</v>
      </c>
      <c r="B90" s="0" t="s">
        <v>3288</v>
      </c>
      <c r="C90" s="0" t="s">
        <v>3289</v>
      </c>
      <c r="D90" s="0" t="s">
        <v>3292</v>
      </c>
      <c r="E90" s="0" t="s">
        <v>3293</v>
      </c>
      <c r="F90" s="0" t="s">
        <v>3089</v>
      </c>
      <c r="G90" s="0" t="s">
        <v>3294</v>
      </c>
    </row>
    <row customHeight="1" ht="11.25">
      <c r="A91" s="429" t="s">
        <v>16</v>
      </c>
      <c r="B91" s="0" t="s">
        <v>3288</v>
      </c>
      <c r="C91" s="0" t="s">
        <v>3289</v>
      </c>
      <c r="D91" s="0" t="s">
        <v>3295</v>
      </c>
      <c r="E91" s="0" t="s">
        <v>3296</v>
      </c>
      <c r="F91" s="0" t="s">
        <v>3089</v>
      </c>
      <c r="G91" s="0" t="s">
        <v>3297</v>
      </c>
    </row>
    <row customHeight="1" ht="11.25">
      <c r="A92" s="429" t="s">
        <v>16</v>
      </c>
      <c r="B92" s="0" t="s">
        <v>3288</v>
      </c>
      <c r="C92" s="0" t="s">
        <v>3289</v>
      </c>
      <c r="D92" s="0" t="s">
        <v>3298</v>
      </c>
      <c r="E92" s="0" t="s">
        <v>3299</v>
      </c>
      <c r="F92" s="0" t="s">
        <v>3089</v>
      </c>
      <c r="G92" s="0" t="s">
        <v>3300</v>
      </c>
    </row>
    <row customHeight="1" ht="11.25">
      <c r="A93" s="429" t="s">
        <v>16</v>
      </c>
      <c r="B93" s="0" t="s">
        <v>3288</v>
      </c>
      <c r="C93" s="0" t="s">
        <v>3289</v>
      </c>
      <c r="D93" s="0" t="s">
        <v>3301</v>
      </c>
      <c r="E93" s="0" t="s">
        <v>3302</v>
      </c>
      <c r="F93" s="0" t="s">
        <v>3089</v>
      </c>
      <c r="G93" s="0" t="s">
        <v>3303</v>
      </c>
    </row>
    <row customHeight="1" ht="11.25">
      <c r="A94" s="429" t="s">
        <v>16</v>
      </c>
      <c r="B94" s="0" t="s">
        <v>3288</v>
      </c>
      <c r="C94" s="0" t="s">
        <v>3289</v>
      </c>
      <c r="D94" s="0" t="s">
        <v>3288</v>
      </c>
      <c r="E94" s="0" t="s">
        <v>3289</v>
      </c>
      <c r="F94" s="0" t="s">
        <v>3090</v>
      </c>
      <c r="G94" s="0" t="s">
        <v>3304</v>
      </c>
    </row>
    <row customHeight="1" ht="11.25">
      <c r="A95" s="429" t="s">
        <v>16</v>
      </c>
      <c r="B95" s="0" t="s">
        <v>3288</v>
      </c>
      <c r="C95" s="0" t="s">
        <v>3289</v>
      </c>
      <c r="D95" s="0" t="s">
        <v>3305</v>
      </c>
      <c r="E95" s="0" t="s">
        <v>3306</v>
      </c>
      <c r="F95" s="0" t="s">
        <v>3089</v>
      </c>
      <c r="G95" s="0" t="s">
        <v>3307</v>
      </c>
    </row>
    <row customHeight="1" ht="11.25">
      <c r="A96" s="429" t="s">
        <v>16</v>
      </c>
      <c r="B96" s="0" t="s">
        <v>3288</v>
      </c>
      <c r="C96" s="0" t="s">
        <v>3289</v>
      </c>
      <c r="D96" s="0" t="s">
        <v>3308</v>
      </c>
      <c r="E96" s="0" t="s">
        <v>3309</v>
      </c>
      <c r="F96" s="0" t="s">
        <v>3089</v>
      </c>
      <c r="G96" s="0" t="s">
        <v>3310</v>
      </c>
    </row>
    <row customHeight="1" ht="11.25">
      <c r="A97" s="429" t="s">
        <v>16</v>
      </c>
      <c r="B97" s="0" t="s">
        <v>3288</v>
      </c>
      <c r="C97" s="0" t="s">
        <v>3289</v>
      </c>
      <c r="D97" s="0" t="s">
        <v>3311</v>
      </c>
      <c r="E97" s="0" t="s">
        <v>3312</v>
      </c>
      <c r="F97" s="0" t="s">
        <v>3089</v>
      </c>
      <c r="G97" s="0" t="s">
        <v>3313</v>
      </c>
    </row>
    <row customHeight="1" ht="11.25">
      <c r="A98" s="429" t="s">
        <v>16</v>
      </c>
      <c r="B98" s="0" t="s">
        <v>3288</v>
      </c>
      <c r="C98" s="0" t="s">
        <v>3289</v>
      </c>
      <c r="D98" s="0" t="s">
        <v>3314</v>
      </c>
      <c r="E98" s="0" t="s">
        <v>3315</v>
      </c>
      <c r="F98" s="0" t="s">
        <v>3089</v>
      </c>
      <c r="G98" s="0" t="s">
        <v>3316</v>
      </c>
    </row>
    <row customHeight="1" ht="11.25">
      <c r="A99" s="429" t="s">
        <v>16</v>
      </c>
      <c r="B99" s="0" t="s">
        <v>3288</v>
      </c>
      <c r="C99" s="0" t="s">
        <v>3289</v>
      </c>
      <c r="D99" s="0" t="s">
        <v>3317</v>
      </c>
      <c r="E99" s="0" t="s">
        <v>3318</v>
      </c>
      <c r="F99" s="0" t="s">
        <v>3089</v>
      </c>
      <c r="G99" s="0" t="s">
        <v>3319</v>
      </c>
    </row>
    <row customHeight="1" ht="11.25">
      <c r="A100" s="429" t="s">
        <v>16</v>
      </c>
      <c r="B100" s="0" t="s">
        <v>3288</v>
      </c>
      <c r="C100" s="0" t="s">
        <v>3289</v>
      </c>
      <c r="D100" s="0" t="s">
        <v>3320</v>
      </c>
      <c r="E100" s="0" t="s">
        <v>3321</v>
      </c>
      <c r="F100" s="0" t="s">
        <v>3089</v>
      </c>
      <c r="G100" s="0" t="s">
        <v>3322</v>
      </c>
    </row>
    <row customHeight="1" ht="11.25">
      <c r="A101" s="429" t="s">
        <v>16</v>
      </c>
      <c r="B101" s="0" t="s">
        <v>3288</v>
      </c>
      <c r="C101" s="0" t="s">
        <v>3289</v>
      </c>
      <c r="D101" s="0" t="s">
        <v>3323</v>
      </c>
      <c r="E101" s="0" t="s">
        <v>3324</v>
      </c>
      <c r="F101" s="0" t="s">
        <v>3089</v>
      </c>
      <c r="G101" s="0" t="s">
        <v>3325</v>
      </c>
    </row>
    <row customHeight="1" ht="11.25">
      <c r="A102" s="429" t="s">
        <v>16</v>
      </c>
      <c r="B102" s="0" t="s">
        <v>3288</v>
      </c>
      <c r="C102" s="0" t="s">
        <v>3289</v>
      </c>
      <c r="D102" s="0" t="s">
        <v>3326</v>
      </c>
      <c r="E102" s="0" t="s">
        <v>3327</v>
      </c>
      <c r="F102" s="0" t="s">
        <v>3089</v>
      </c>
      <c r="G102" s="0" t="s">
        <v>3328</v>
      </c>
    </row>
    <row customHeight="1" ht="11.25">
      <c r="A103" s="429" t="s">
        <v>16</v>
      </c>
      <c r="B103" s="0" t="s">
        <v>3288</v>
      </c>
      <c r="C103" s="0" t="s">
        <v>3289</v>
      </c>
      <c r="D103" s="0" t="s">
        <v>3329</v>
      </c>
      <c r="E103" s="0" t="s">
        <v>3330</v>
      </c>
      <c r="F103" s="0" t="s">
        <v>3159</v>
      </c>
      <c r="G103" s="0" t="s">
        <v>3331</v>
      </c>
    </row>
    <row customHeight="1" ht="11.25">
      <c r="A104" s="429" t="s">
        <v>16</v>
      </c>
      <c r="B104" s="0" t="s">
        <v>3288</v>
      </c>
      <c r="C104" s="0" t="s">
        <v>3289</v>
      </c>
      <c r="D104" s="0" t="s">
        <v>3332</v>
      </c>
      <c r="E104" s="0" t="s">
        <v>3333</v>
      </c>
      <c r="F104" s="0" t="s">
        <v>3159</v>
      </c>
      <c r="G104" s="0" t="s">
        <v>3334</v>
      </c>
    </row>
    <row customHeight="1" ht="11.25">
      <c r="A105" s="429" t="s">
        <v>16</v>
      </c>
      <c r="B105" s="0" t="s">
        <v>3288</v>
      </c>
      <c r="C105" s="0" t="s">
        <v>3289</v>
      </c>
      <c r="D105" s="0" t="s">
        <v>3335</v>
      </c>
      <c r="E105" s="0" t="s">
        <v>3336</v>
      </c>
      <c r="F105" s="0" t="s">
        <v>3159</v>
      </c>
      <c r="G105" s="0" t="s">
        <v>3337</v>
      </c>
    </row>
    <row customHeight="1" ht="11.25">
      <c r="A106" s="429" t="s">
        <v>16</v>
      </c>
      <c r="B106" s="0" t="s">
        <v>3338</v>
      </c>
      <c r="C106" s="0" t="s">
        <v>3339</v>
      </c>
      <c r="D106" s="0" t="s">
        <v>3340</v>
      </c>
      <c r="E106" s="0" t="s">
        <v>3341</v>
      </c>
      <c r="F106" s="0" t="s">
        <v>3089</v>
      </c>
      <c r="G106" s="0" t="s">
        <v>3342</v>
      </c>
    </row>
    <row customHeight="1" ht="11.25">
      <c r="A107" s="429" t="s">
        <v>16</v>
      </c>
      <c r="B107" s="0" t="s">
        <v>3338</v>
      </c>
      <c r="C107" s="0" t="s">
        <v>3339</v>
      </c>
      <c r="D107" s="0" t="s">
        <v>3343</v>
      </c>
      <c r="E107" s="0" t="s">
        <v>3344</v>
      </c>
      <c r="F107" s="0" t="s">
        <v>3089</v>
      </c>
      <c r="G107" s="0" t="s">
        <v>3345</v>
      </c>
    </row>
    <row customHeight="1" ht="11.25">
      <c r="A108" s="429" t="s">
        <v>16</v>
      </c>
      <c r="B108" s="0" t="s">
        <v>3338</v>
      </c>
      <c r="C108" s="0" t="s">
        <v>3339</v>
      </c>
      <c r="D108" s="0" t="s">
        <v>3346</v>
      </c>
      <c r="E108" s="0" t="s">
        <v>3347</v>
      </c>
      <c r="F108" s="0" t="s">
        <v>3089</v>
      </c>
      <c r="G108" s="0" t="s">
        <v>3348</v>
      </c>
    </row>
    <row customHeight="1" ht="11.25">
      <c r="A109" s="429" t="s">
        <v>16</v>
      </c>
      <c r="B109" s="0" t="s">
        <v>3338</v>
      </c>
      <c r="C109" s="0" t="s">
        <v>3339</v>
      </c>
      <c r="D109" s="0" t="s">
        <v>3338</v>
      </c>
      <c r="E109" s="0" t="s">
        <v>3339</v>
      </c>
      <c r="F109" s="0" t="s">
        <v>3090</v>
      </c>
      <c r="G109" s="0" t="s">
        <v>3349</v>
      </c>
    </row>
    <row customHeight="1" ht="11.25">
      <c r="A110" s="429" t="s">
        <v>16</v>
      </c>
      <c r="B110" s="0" t="s">
        <v>3338</v>
      </c>
      <c r="C110" s="0" t="s">
        <v>3339</v>
      </c>
      <c r="D110" s="0" t="s">
        <v>3350</v>
      </c>
      <c r="E110" s="0" t="s">
        <v>3351</v>
      </c>
      <c r="F110" s="0" t="s">
        <v>3089</v>
      </c>
      <c r="G110" s="0" t="s">
        <v>3352</v>
      </c>
    </row>
    <row customHeight="1" ht="11.25">
      <c r="A111" s="429" t="s">
        <v>16</v>
      </c>
      <c r="B111" s="0" t="s">
        <v>3338</v>
      </c>
      <c r="C111" s="0" t="s">
        <v>3339</v>
      </c>
      <c r="D111" s="0" t="s">
        <v>3353</v>
      </c>
      <c r="E111" s="0" t="s">
        <v>3354</v>
      </c>
      <c r="F111" s="0" t="s">
        <v>3089</v>
      </c>
      <c r="G111" s="0" t="s">
        <v>3355</v>
      </c>
    </row>
    <row customHeight="1" ht="11.25">
      <c r="A112" s="429" t="s">
        <v>16</v>
      </c>
      <c r="B112" s="0" t="s">
        <v>3338</v>
      </c>
      <c r="C112" s="0" t="s">
        <v>3339</v>
      </c>
      <c r="D112" s="0" t="s">
        <v>3356</v>
      </c>
      <c r="E112" s="0" t="s">
        <v>3357</v>
      </c>
      <c r="F112" s="0" t="s">
        <v>3089</v>
      </c>
      <c r="G112" s="0" t="s">
        <v>3358</v>
      </c>
    </row>
    <row customHeight="1" ht="11.25">
      <c r="A113" s="429" t="s">
        <v>16</v>
      </c>
      <c r="B113" s="0" t="s">
        <v>3338</v>
      </c>
      <c r="C113" s="0" t="s">
        <v>3339</v>
      </c>
      <c r="D113" s="0" t="s">
        <v>3359</v>
      </c>
      <c r="E113" s="0" t="s">
        <v>3360</v>
      </c>
      <c r="F113" s="0" t="s">
        <v>3089</v>
      </c>
      <c r="G113" s="0" t="s">
        <v>3361</v>
      </c>
    </row>
    <row customHeight="1" ht="11.25">
      <c r="A114" s="429" t="s">
        <v>16</v>
      </c>
      <c r="B114" s="0" t="s">
        <v>3338</v>
      </c>
      <c r="C114" s="0" t="s">
        <v>3339</v>
      </c>
      <c r="D114" s="0" t="s">
        <v>3362</v>
      </c>
      <c r="E114" s="0" t="s">
        <v>3363</v>
      </c>
      <c r="F114" s="0" t="s">
        <v>3089</v>
      </c>
      <c r="G114" s="0" t="s">
        <v>3364</v>
      </c>
    </row>
    <row customHeight="1" ht="11.25">
      <c r="A115" s="429" t="s">
        <v>16</v>
      </c>
      <c r="B115" s="0" t="s">
        <v>3338</v>
      </c>
      <c r="C115" s="0" t="s">
        <v>3339</v>
      </c>
      <c r="D115" s="0" t="s">
        <v>3365</v>
      </c>
      <c r="E115" s="0" t="s">
        <v>3366</v>
      </c>
      <c r="F115" s="0" t="s">
        <v>3089</v>
      </c>
      <c r="G115" s="0" t="s">
        <v>3367</v>
      </c>
    </row>
    <row customHeight="1" ht="11.25">
      <c r="A116" s="429" t="s">
        <v>16</v>
      </c>
      <c r="B116" s="0" t="s">
        <v>3338</v>
      </c>
      <c r="C116" s="0" t="s">
        <v>3339</v>
      </c>
      <c r="D116" s="0" t="s">
        <v>3368</v>
      </c>
      <c r="E116" s="0" t="s">
        <v>3369</v>
      </c>
      <c r="F116" s="0" t="s">
        <v>3159</v>
      </c>
      <c r="G116" s="0" t="s">
        <v>3370</v>
      </c>
    </row>
    <row customHeight="1" ht="11.25">
      <c r="A117" s="429" t="s">
        <v>16</v>
      </c>
      <c r="B117" s="0" t="s">
        <v>3371</v>
      </c>
      <c r="C117" s="0" t="s">
        <v>3372</v>
      </c>
      <c r="D117" s="0" t="s">
        <v>3373</v>
      </c>
      <c r="E117" s="0" t="s">
        <v>3374</v>
      </c>
      <c r="F117" s="0" t="s">
        <v>3089</v>
      </c>
      <c r="G117" s="0" t="s">
        <v>3375</v>
      </c>
    </row>
    <row customHeight="1" ht="11.25">
      <c r="A118" s="429" t="s">
        <v>16</v>
      </c>
      <c r="B118" s="0" t="s">
        <v>3371</v>
      </c>
      <c r="C118" s="0" t="s">
        <v>3372</v>
      </c>
      <c r="D118" s="0" t="s">
        <v>3376</v>
      </c>
      <c r="E118" s="0" t="s">
        <v>3377</v>
      </c>
      <c r="F118" s="0" t="s">
        <v>3089</v>
      </c>
      <c r="G118" s="0" t="s">
        <v>3378</v>
      </c>
    </row>
    <row customHeight="1" ht="11.25">
      <c r="A119" s="429" t="s">
        <v>16</v>
      </c>
      <c r="B119" s="0" t="s">
        <v>3371</v>
      </c>
      <c r="C119" s="0" t="s">
        <v>3372</v>
      </c>
      <c r="D119" s="0" t="s">
        <v>3371</v>
      </c>
      <c r="E119" s="0" t="s">
        <v>3372</v>
      </c>
      <c r="F119" s="0" t="s">
        <v>3090</v>
      </c>
      <c r="G119" s="0" t="s">
        <v>3379</v>
      </c>
    </row>
    <row customHeight="1" ht="11.25">
      <c r="A120" s="429" t="s">
        <v>16</v>
      </c>
      <c r="B120" s="0" t="s">
        <v>3371</v>
      </c>
      <c r="C120" s="0" t="s">
        <v>3372</v>
      </c>
      <c r="D120" s="0" t="s">
        <v>3380</v>
      </c>
      <c r="E120" s="0" t="s">
        <v>3381</v>
      </c>
      <c r="F120" s="0" t="s">
        <v>3089</v>
      </c>
      <c r="G120" s="0" t="s">
        <v>3382</v>
      </c>
    </row>
    <row customHeight="1" ht="11.25">
      <c r="A121" s="429" t="s">
        <v>16</v>
      </c>
      <c r="B121" s="0" t="s">
        <v>3371</v>
      </c>
      <c r="C121" s="0" t="s">
        <v>3372</v>
      </c>
      <c r="D121" s="0" t="s">
        <v>3123</v>
      </c>
      <c r="E121" s="0" t="s">
        <v>3383</v>
      </c>
      <c r="F121" s="0" t="s">
        <v>3089</v>
      </c>
      <c r="G121" s="0" t="s">
        <v>3384</v>
      </c>
    </row>
    <row customHeight="1" ht="11.25">
      <c r="A122" s="429" t="s">
        <v>16</v>
      </c>
      <c r="B122" s="0" t="s">
        <v>3371</v>
      </c>
      <c r="C122" s="0" t="s">
        <v>3372</v>
      </c>
      <c r="D122" s="0" t="s">
        <v>3385</v>
      </c>
      <c r="E122" s="0" t="s">
        <v>3386</v>
      </c>
      <c r="F122" s="0" t="s">
        <v>3089</v>
      </c>
      <c r="G122" s="0" t="s">
        <v>3387</v>
      </c>
    </row>
    <row customHeight="1" ht="11.25">
      <c r="A123" s="429" t="s">
        <v>16</v>
      </c>
      <c r="B123" s="0" t="s">
        <v>3371</v>
      </c>
      <c r="C123" s="0" t="s">
        <v>3372</v>
      </c>
      <c r="D123" s="0" t="s">
        <v>3388</v>
      </c>
      <c r="E123" s="0" t="s">
        <v>3389</v>
      </c>
      <c r="F123" s="0" t="s">
        <v>3089</v>
      </c>
      <c r="G123" s="0" t="s">
        <v>3390</v>
      </c>
    </row>
    <row customHeight="1" ht="11.25">
      <c r="A124" s="429" t="s">
        <v>16</v>
      </c>
      <c r="B124" s="0" t="s">
        <v>3371</v>
      </c>
      <c r="C124" s="0" t="s">
        <v>3372</v>
      </c>
      <c r="D124" s="0" t="s">
        <v>3391</v>
      </c>
      <c r="E124" s="0" t="s">
        <v>3392</v>
      </c>
      <c r="F124" s="0" t="s">
        <v>3089</v>
      </c>
      <c r="G124" s="0" t="s">
        <v>3393</v>
      </c>
    </row>
    <row customHeight="1" ht="11.25">
      <c r="A125" s="429" t="s">
        <v>16</v>
      </c>
      <c r="B125" s="0" t="s">
        <v>3371</v>
      </c>
      <c r="C125" s="0" t="s">
        <v>3372</v>
      </c>
      <c r="D125" s="0" t="s">
        <v>3394</v>
      </c>
      <c r="E125" s="0" t="s">
        <v>3395</v>
      </c>
      <c r="F125" s="0" t="s">
        <v>3089</v>
      </c>
      <c r="G125" s="0" t="s">
        <v>3396</v>
      </c>
    </row>
    <row customHeight="1" ht="11.25">
      <c r="A126" s="429" t="s">
        <v>16</v>
      </c>
      <c r="B126" s="0" t="s">
        <v>3371</v>
      </c>
      <c r="C126" s="0" t="s">
        <v>3372</v>
      </c>
      <c r="D126" s="0" t="s">
        <v>3397</v>
      </c>
      <c r="E126" s="0" t="s">
        <v>3398</v>
      </c>
      <c r="F126" s="0" t="s">
        <v>3089</v>
      </c>
      <c r="G126" s="0" t="s">
        <v>3399</v>
      </c>
    </row>
    <row customHeight="1" ht="11.25">
      <c r="A127" s="429" t="s">
        <v>16</v>
      </c>
      <c r="B127" s="0" t="s">
        <v>3371</v>
      </c>
      <c r="C127" s="0" t="s">
        <v>3372</v>
      </c>
      <c r="D127" s="0" t="s">
        <v>3400</v>
      </c>
      <c r="E127" s="0" t="s">
        <v>3401</v>
      </c>
      <c r="F127" s="0" t="s">
        <v>3159</v>
      </c>
      <c r="G127" s="0" t="s">
        <v>3402</v>
      </c>
    </row>
    <row customHeight="1" ht="11.25">
      <c r="A128" s="429" t="s">
        <v>16</v>
      </c>
      <c r="B128" s="0" t="s">
        <v>104</v>
      </c>
      <c r="C128" s="0" t="s">
        <v>3403</v>
      </c>
      <c r="D128" s="0" t="s">
        <v>105</v>
      </c>
      <c r="E128" s="0" t="s">
        <v>106</v>
      </c>
      <c r="F128" s="0" t="s">
        <v>3089</v>
      </c>
      <c r="G128" s="0" t="s">
        <v>103</v>
      </c>
    </row>
    <row customHeight="1" ht="11.25">
      <c r="A129" s="429" t="s">
        <v>16</v>
      </c>
      <c r="B129" s="0" t="s">
        <v>104</v>
      </c>
      <c r="C129" s="0" t="s">
        <v>3403</v>
      </c>
      <c r="D129" s="0" t="s">
        <v>112</v>
      </c>
      <c r="E129" s="0" t="s">
        <v>113</v>
      </c>
      <c r="F129" s="0" t="s">
        <v>3089</v>
      </c>
      <c r="G129" s="0" t="s">
        <v>111</v>
      </c>
    </row>
    <row customHeight="1" ht="11.25">
      <c r="A130" s="429" t="s">
        <v>16</v>
      </c>
      <c r="B130" s="0" t="s">
        <v>104</v>
      </c>
      <c r="C130" s="0" t="s">
        <v>3403</v>
      </c>
      <c r="D130" s="0" t="s">
        <v>116</v>
      </c>
      <c r="E130" s="0" t="s">
        <v>117</v>
      </c>
      <c r="F130" s="0" t="s">
        <v>3089</v>
      </c>
      <c r="G130" s="0" t="s">
        <v>115</v>
      </c>
    </row>
    <row customHeight="1" ht="11.25">
      <c r="A131" s="429" t="s">
        <v>16</v>
      </c>
      <c r="B131" s="0" t="s">
        <v>104</v>
      </c>
      <c r="C131" s="0" t="s">
        <v>3403</v>
      </c>
      <c r="D131" s="0" t="s">
        <v>120</v>
      </c>
      <c r="E131" s="0" t="s">
        <v>121</v>
      </c>
      <c r="F131" s="0" t="s">
        <v>3089</v>
      </c>
      <c r="G131" s="0" t="s">
        <v>119</v>
      </c>
    </row>
    <row customHeight="1" ht="11.25">
      <c r="A132" s="429" t="s">
        <v>16</v>
      </c>
      <c r="B132" s="0" t="s">
        <v>104</v>
      </c>
      <c r="C132" s="0" t="s">
        <v>3403</v>
      </c>
      <c r="D132" s="0" t="s">
        <v>125</v>
      </c>
      <c r="E132" s="0" t="s">
        <v>126</v>
      </c>
      <c r="F132" s="0" t="s">
        <v>3089</v>
      </c>
      <c r="G132" s="0" t="s">
        <v>124</v>
      </c>
    </row>
    <row customHeight="1" ht="11.25">
      <c r="A133" s="429" t="s">
        <v>16</v>
      </c>
      <c r="B133" s="0" t="s">
        <v>104</v>
      </c>
      <c r="C133" s="0" t="s">
        <v>3403</v>
      </c>
      <c r="D133" s="0" t="s">
        <v>129</v>
      </c>
      <c r="E133" s="0" t="s">
        <v>130</v>
      </c>
      <c r="F133" s="0" t="s">
        <v>3089</v>
      </c>
      <c r="G133" s="0" t="s">
        <v>128</v>
      </c>
    </row>
    <row customHeight="1" ht="11.25">
      <c r="A134" s="429" t="s">
        <v>16</v>
      </c>
      <c r="B134" s="0" t="s">
        <v>104</v>
      </c>
      <c r="C134" s="0" t="s">
        <v>3403</v>
      </c>
      <c r="D134" s="0" t="s">
        <v>104</v>
      </c>
      <c r="E134" s="0" t="s">
        <v>3403</v>
      </c>
      <c r="F134" s="0" t="s">
        <v>3090</v>
      </c>
      <c r="G134" s="0" t="s">
        <v>3404</v>
      </c>
    </row>
    <row customHeight="1" ht="11.25">
      <c r="A135" s="429" t="s">
        <v>16</v>
      </c>
      <c r="B135" s="0" t="s">
        <v>104</v>
      </c>
      <c r="C135" s="0" t="s">
        <v>3403</v>
      </c>
      <c r="D135" s="0" t="s">
        <v>133</v>
      </c>
      <c r="E135" s="0" t="s">
        <v>134</v>
      </c>
      <c r="F135" s="0" t="s">
        <v>3089</v>
      </c>
      <c r="G135" s="0" t="s">
        <v>132</v>
      </c>
    </row>
    <row customHeight="1" ht="11.25">
      <c r="A136" s="429" t="s">
        <v>16</v>
      </c>
      <c r="B136" s="0" t="s">
        <v>104</v>
      </c>
      <c r="C136" s="0" t="s">
        <v>3403</v>
      </c>
      <c r="D136" s="0" t="s">
        <v>138</v>
      </c>
      <c r="E136" s="0" t="s">
        <v>139</v>
      </c>
      <c r="F136" s="0" t="s">
        <v>3089</v>
      </c>
      <c r="G136" s="0" t="s">
        <v>137</v>
      </c>
    </row>
    <row customHeight="1" ht="11.25">
      <c r="A137" s="429" t="s">
        <v>16</v>
      </c>
      <c r="B137" s="0" t="s">
        <v>104</v>
      </c>
      <c r="C137" s="0" t="s">
        <v>3403</v>
      </c>
      <c r="D137" s="0" t="s">
        <v>143</v>
      </c>
      <c r="E137" s="0" t="s">
        <v>144</v>
      </c>
      <c r="F137" s="0" t="s">
        <v>3089</v>
      </c>
      <c r="G137" s="0" t="s">
        <v>142</v>
      </c>
    </row>
    <row customHeight="1" ht="11.25">
      <c r="A138" s="429" t="s">
        <v>16</v>
      </c>
      <c r="B138" s="0" t="s">
        <v>104</v>
      </c>
      <c r="C138" s="0" t="s">
        <v>3403</v>
      </c>
      <c r="D138" s="0" t="s">
        <v>148</v>
      </c>
      <c r="E138" s="0" t="s">
        <v>149</v>
      </c>
      <c r="F138" s="0" t="s">
        <v>3089</v>
      </c>
      <c r="G138" s="0" t="s">
        <v>147</v>
      </c>
    </row>
    <row customHeight="1" ht="11.25">
      <c r="A139" s="429" t="s">
        <v>16</v>
      </c>
      <c r="B139" s="0" t="s">
        <v>104</v>
      </c>
      <c r="C139" s="0" t="s">
        <v>3403</v>
      </c>
      <c r="D139" s="0" t="s">
        <v>153</v>
      </c>
      <c r="E139" s="0" t="s">
        <v>154</v>
      </c>
      <c r="F139" s="0" t="s">
        <v>3089</v>
      </c>
      <c r="G139" s="0" t="s">
        <v>152</v>
      </c>
    </row>
    <row customHeight="1" ht="11.25">
      <c r="A140" s="429" t="s">
        <v>16</v>
      </c>
      <c r="B140" s="0" t="s">
        <v>104</v>
      </c>
      <c r="C140" s="0" t="s">
        <v>3403</v>
      </c>
      <c r="D140" s="0" t="s">
        <v>158</v>
      </c>
      <c r="E140" s="0" t="s">
        <v>159</v>
      </c>
      <c r="F140" s="0" t="s">
        <v>3089</v>
      </c>
      <c r="G140" s="0" t="s">
        <v>157</v>
      </c>
    </row>
    <row customHeight="1" ht="11.25">
      <c r="A141" s="429" t="s">
        <v>16</v>
      </c>
      <c r="B141" s="0" t="s">
        <v>104</v>
      </c>
      <c r="C141" s="0" t="s">
        <v>3403</v>
      </c>
      <c r="D141" s="0" t="s">
        <v>163</v>
      </c>
      <c r="E141" s="0" t="s">
        <v>164</v>
      </c>
      <c r="F141" s="0" t="s">
        <v>3089</v>
      </c>
      <c r="G141" s="0" t="s">
        <v>162</v>
      </c>
    </row>
    <row customHeight="1" ht="11.25">
      <c r="A142" s="429" t="s">
        <v>16</v>
      </c>
      <c r="B142" s="0" t="s">
        <v>104</v>
      </c>
      <c r="C142" s="0" t="s">
        <v>3403</v>
      </c>
      <c r="D142" s="0" t="s">
        <v>168</v>
      </c>
      <c r="E142" s="0" t="s">
        <v>169</v>
      </c>
      <c r="F142" s="0" t="s">
        <v>3089</v>
      </c>
      <c r="G142" s="0" t="s">
        <v>167</v>
      </c>
    </row>
    <row customHeight="1" ht="11.25">
      <c r="A143" s="429" t="s">
        <v>16</v>
      </c>
      <c r="B143" s="0" t="s">
        <v>104</v>
      </c>
      <c r="C143" s="0" t="s">
        <v>3403</v>
      </c>
      <c r="D143" s="0" t="s">
        <v>173</v>
      </c>
      <c r="E143" s="0" t="s">
        <v>174</v>
      </c>
      <c r="F143" s="0" t="s">
        <v>3089</v>
      </c>
      <c r="G143" s="0" t="s">
        <v>172</v>
      </c>
    </row>
    <row customHeight="1" ht="11.25">
      <c r="A144" s="429" t="s">
        <v>16</v>
      </c>
      <c r="B144" s="0" t="s">
        <v>104</v>
      </c>
      <c r="C144" s="0" t="s">
        <v>3403</v>
      </c>
      <c r="D144" s="0" t="s">
        <v>178</v>
      </c>
      <c r="E144" s="0" t="s">
        <v>179</v>
      </c>
      <c r="F144" s="0" t="s">
        <v>3089</v>
      </c>
      <c r="G144" s="0" t="s">
        <v>177</v>
      </c>
    </row>
    <row customHeight="1" ht="11.25">
      <c r="A145" s="429" t="s">
        <v>16</v>
      </c>
      <c r="B145" s="0" t="s">
        <v>104</v>
      </c>
      <c r="C145" s="0" t="s">
        <v>3403</v>
      </c>
      <c r="D145" s="0" t="s">
        <v>183</v>
      </c>
      <c r="E145" s="0" t="s">
        <v>184</v>
      </c>
      <c r="F145" s="0" t="s">
        <v>3089</v>
      </c>
      <c r="G145" s="0" t="s">
        <v>182</v>
      </c>
    </row>
    <row customHeight="1" ht="11.25">
      <c r="A146" s="429" t="s">
        <v>16</v>
      </c>
      <c r="B146" s="0" t="s">
        <v>3405</v>
      </c>
      <c r="C146" s="0" t="s">
        <v>3406</v>
      </c>
      <c r="D146" s="0" t="s">
        <v>3407</v>
      </c>
      <c r="E146" s="0" t="s">
        <v>3408</v>
      </c>
      <c r="F146" s="0" t="s">
        <v>3089</v>
      </c>
      <c r="G146" s="0" t="s">
        <v>3409</v>
      </c>
    </row>
    <row customHeight="1" ht="11.25">
      <c r="A147" s="429" t="s">
        <v>16</v>
      </c>
      <c r="B147" s="0" t="s">
        <v>3405</v>
      </c>
      <c r="C147" s="0" t="s">
        <v>3406</v>
      </c>
      <c r="D147" s="0" t="s">
        <v>3410</v>
      </c>
      <c r="E147" s="0" t="s">
        <v>3411</v>
      </c>
      <c r="F147" s="0" t="s">
        <v>3089</v>
      </c>
      <c r="G147" s="0" t="s">
        <v>3412</v>
      </c>
    </row>
    <row customHeight="1" ht="11.25">
      <c r="A148" s="429" t="s">
        <v>16</v>
      </c>
      <c r="B148" s="0" t="s">
        <v>3405</v>
      </c>
      <c r="C148" s="0" t="s">
        <v>3406</v>
      </c>
      <c r="D148" s="0" t="s">
        <v>3413</v>
      </c>
      <c r="E148" s="0" t="s">
        <v>3414</v>
      </c>
      <c r="F148" s="0" t="s">
        <v>3089</v>
      </c>
      <c r="G148" s="0" t="s">
        <v>3415</v>
      </c>
    </row>
    <row customHeight="1" ht="11.25">
      <c r="A149" s="429" t="s">
        <v>16</v>
      </c>
      <c r="B149" s="0" t="s">
        <v>3405</v>
      </c>
      <c r="C149" s="0" t="s">
        <v>3406</v>
      </c>
      <c r="D149" s="0" t="s">
        <v>3416</v>
      </c>
      <c r="E149" s="0" t="s">
        <v>3417</v>
      </c>
      <c r="F149" s="0" t="s">
        <v>3089</v>
      </c>
      <c r="G149" s="0" t="s">
        <v>3418</v>
      </c>
    </row>
    <row customHeight="1" ht="11.25">
      <c r="A150" s="429" t="s">
        <v>16</v>
      </c>
      <c r="B150" s="0" t="s">
        <v>3405</v>
      </c>
      <c r="C150" s="0" t="s">
        <v>3406</v>
      </c>
      <c r="D150" s="0" t="s">
        <v>3405</v>
      </c>
      <c r="E150" s="0" t="s">
        <v>3406</v>
      </c>
      <c r="F150" s="0" t="s">
        <v>3090</v>
      </c>
      <c r="G150" s="0" t="s">
        <v>3419</v>
      </c>
    </row>
    <row customHeight="1" ht="11.25">
      <c r="A151" s="429" t="s">
        <v>16</v>
      </c>
      <c r="B151" s="0" t="s">
        <v>3405</v>
      </c>
      <c r="C151" s="0" t="s">
        <v>3406</v>
      </c>
      <c r="D151" s="0" t="s">
        <v>3420</v>
      </c>
      <c r="E151" s="0" t="s">
        <v>3421</v>
      </c>
      <c r="F151" s="0" t="s">
        <v>3089</v>
      </c>
      <c r="G151" s="0" t="s">
        <v>3422</v>
      </c>
    </row>
    <row customHeight="1" ht="11.25">
      <c r="A152" s="429" t="s">
        <v>16</v>
      </c>
      <c r="B152" s="0" t="s">
        <v>3405</v>
      </c>
      <c r="C152" s="0" t="s">
        <v>3406</v>
      </c>
      <c r="D152" s="0" t="s">
        <v>3423</v>
      </c>
      <c r="E152" s="0" t="s">
        <v>3424</v>
      </c>
      <c r="F152" s="0" t="s">
        <v>3089</v>
      </c>
      <c r="G152" s="0" t="s">
        <v>3425</v>
      </c>
    </row>
    <row customHeight="1" ht="11.25">
      <c r="A153" s="429" t="s">
        <v>16</v>
      </c>
      <c r="B153" s="0" t="s">
        <v>3405</v>
      </c>
      <c r="C153" s="0" t="s">
        <v>3406</v>
      </c>
      <c r="D153" s="0" t="s">
        <v>3426</v>
      </c>
      <c r="E153" s="0" t="s">
        <v>3427</v>
      </c>
      <c r="F153" s="0" t="s">
        <v>3159</v>
      </c>
      <c r="G153" s="0" t="s">
        <v>3428</v>
      </c>
    </row>
    <row customHeight="1" ht="11.25">
      <c r="A154" s="429" t="s">
        <v>16</v>
      </c>
      <c r="B154" s="0" t="s">
        <v>3405</v>
      </c>
      <c r="C154" s="0" t="s">
        <v>3406</v>
      </c>
      <c r="D154" s="0" t="s">
        <v>3429</v>
      </c>
      <c r="E154" s="0" t="s">
        <v>3430</v>
      </c>
      <c r="F154" s="0" t="s">
        <v>3159</v>
      </c>
      <c r="G154" s="0" t="s">
        <v>3431</v>
      </c>
    </row>
    <row customHeight="1" ht="11.25">
      <c r="A155" s="429" t="s">
        <v>16</v>
      </c>
      <c r="B155" s="0" t="s">
        <v>3432</v>
      </c>
      <c r="C155" s="0" t="s">
        <v>3433</v>
      </c>
      <c r="D155" s="0" t="s">
        <v>3434</v>
      </c>
      <c r="E155" s="0" t="s">
        <v>3435</v>
      </c>
      <c r="F155" s="0" t="s">
        <v>3089</v>
      </c>
      <c r="G155" s="0" t="s">
        <v>3436</v>
      </c>
    </row>
    <row customHeight="1" ht="11.25">
      <c r="A156" s="429" t="s">
        <v>16</v>
      </c>
      <c r="B156" s="0" t="s">
        <v>3432</v>
      </c>
      <c r="C156" s="0" t="s">
        <v>3433</v>
      </c>
      <c r="D156" s="0" t="s">
        <v>3437</v>
      </c>
      <c r="E156" s="0" t="s">
        <v>3438</v>
      </c>
      <c r="F156" s="0" t="s">
        <v>3089</v>
      </c>
      <c r="G156" s="0" t="s">
        <v>3439</v>
      </c>
    </row>
    <row customHeight="1" ht="11.25">
      <c r="A157" s="429" t="s">
        <v>16</v>
      </c>
      <c r="B157" s="0" t="s">
        <v>3432</v>
      </c>
      <c r="C157" s="0" t="s">
        <v>3433</v>
      </c>
      <c r="D157" s="0" t="s">
        <v>3440</v>
      </c>
      <c r="E157" s="0" t="s">
        <v>3441</v>
      </c>
      <c r="F157" s="0" t="s">
        <v>3089</v>
      </c>
      <c r="G157" s="0" t="s">
        <v>3442</v>
      </c>
    </row>
    <row customHeight="1" ht="11.25">
      <c r="A158" s="429" t="s">
        <v>16</v>
      </c>
      <c r="B158" s="0" t="s">
        <v>3432</v>
      </c>
      <c r="C158" s="0" t="s">
        <v>3433</v>
      </c>
      <c r="D158" s="0" t="s">
        <v>3443</v>
      </c>
      <c r="E158" s="0" t="s">
        <v>3444</v>
      </c>
      <c r="F158" s="0" t="s">
        <v>3089</v>
      </c>
      <c r="G158" s="0" t="s">
        <v>3445</v>
      </c>
    </row>
    <row customHeight="1" ht="11.25">
      <c r="A159" s="429" t="s">
        <v>16</v>
      </c>
      <c r="B159" s="0" t="s">
        <v>3432</v>
      </c>
      <c r="C159" s="0" t="s">
        <v>3433</v>
      </c>
      <c r="D159" s="0" t="s">
        <v>3446</v>
      </c>
      <c r="E159" s="0" t="s">
        <v>3447</v>
      </c>
      <c r="F159" s="0" t="s">
        <v>3089</v>
      </c>
      <c r="G159" s="0" t="s">
        <v>3448</v>
      </c>
    </row>
    <row customHeight="1" ht="11.25">
      <c r="A160" s="429" t="s">
        <v>16</v>
      </c>
      <c r="B160" s="0" t="s">
        <v>3432</v>
      </c>
      <c r="C160" s="0" t="s">
        <v>3433</v>
      </c>
      <c r="D160" s="0" t="s">
        <v>3449</v>
      </c>
      <c r="E160" s="0" t="s">
        <v>3450</v>
      </c>
      <c r="F160" s="0" t="s">
        <v>3089</v>
      </c>
      <c r="G160" s="0" t="s">
        <v>3451</v>
      </c>
    </row>
    <row customHeight="1" ht="11.25">
      <c r="A161" s="429" t="s">
        <v>16</v>
      </c>
      <c r="B161" s="0" t="s">
        <v>3432</v>
      </c>
      <c r="C161" s="0" t="s">
        <v>3433</v>
      </c>
      <c r="D161" s="0" t="s">
        <v>3432</v>
      </c>
      <c r="E161" s="0" t="s">
        <v>3433</v>
      </c>
      <c r="F161" s="0" t="s">
        <v>3090</v>
      </c>
      <c r="G161" s="0" t="s">
        <v>3452</v>
      </c>
    </row>
    <row customHeight="1" ht="11.25">
      <c r="A162" s="429" t="s">
        <v>16</v>
      </c>
      <c r="B162" s="0" t="s">
        <v>3432</v>
      </c>
      <c r="C162" s="0" t="s">
        <v>3433</v>
      </c>
      <c r="D162" s="0" t="s">
        <v>3453</v>
      </c>
      <c r="E162" s="0" t="s">
        <v>3454</v>
      </c>
      <c r="F162" s="0" t="s">
        <v>3089</v>
      </c>
      <c r="G162" s="0" t="s">
        <v>3455</v>
      </c>
    </row>
    <row customHeight="1" ht="11.25">
      <c r="A163" s="429" t="s">
        <v>16</v>
      </c>
      <c r="B163" s="0" t="s">
        <v>3432</v>
      </c>
      <c r="C163" s="0" t="s">
        <v>3433</v>
      </c>
      <c r="D163" s="0" t="s">
        <v>3456</v>
      </c>
      <c r="E163" s="0" t="s">
        <v>3457</v>
      </c>
      <c r="F163" s="0" t="s">
        <v>3089</v>
      </c>
      <c r="G163" s="0" t="s">
        <v>3458</v>
      </c>
    </row>
    <row customHeight="1" ht="11.25">
      <c r="A164" s="429" t="s">
        <v>16</v>
      </c>
      <c r="B164" s="0" t="s">
        <v>3459</v>
      </c>
      <c r="C164" s="0" t="s">
        <v>3460</v>
      </c>
      <c r="D164" s="0" t="s">
        <v>3461</v>
      </c>
      <c r="E164" s="0" t="s">
        <v>3462</v>
      </c>
      <c r="F164" s="0" t="s">
        <v>3089</v>
      </c>
      <c r="G164" s="0" t="s">
        <v>3463</v>
      </c>
    </row>
    <row customHeight="1" ht="11.25">
      <c r="A165" s="429" t="s">
        <v>16</v>
      </c>
      <c r="B165" s="0" t="s">
        <v>3459</v>
      </c>
      <c r="C165" s="0" t="s">
        <v>3460</v>
      </c>
      <c r="D165" s="0" t="s">
        <v>3464</v>
      </c>
      <c r="E165" s="0" t="s">
        <v>3465</v>
      </c>
      <c r="F165" s="0" t="s">
        <v>3089</v>
      </c>
      <c r="G165" s="0" t="s">
        <v>3466</v>
      </c>
    </row>
    <row customHeight="1" ht="11.25">
      <c r="A166" s="429" t="s">
        <v>16</v>
      </c>
      <c r="B166" s="0" t="s">
        <v>3459</v>
      </c>
      <c r="C166" s="0" t="s">
        <v>3460</v>
      </c>
      <c r="D166" s="0" t="s">
        <v>3459</v>
      </c>
      <c r="E166" s="0" t="s">
        <v>3460</v>
      </c>
      <c r="F166" s="0" t="s">
        <v>3090</v>
      </c>
      <c r="G166" s="0" t="s">
        <v>3467</v>
      </c>
    </row>
    <row customHeight="1" ht="11.25">
      <c r="A167" s="429" t="s">
        <v>16</v>
      </c>
      <c r="B167" s="0" t="s">
        <v>3459</v>
      </c>
      <c r="C167" s="0" t="s">
        <v>3460</v>
      </c>
      <c r="D167" s="0" t="s">
        <v>3468</v>
      </c>
      <c r="E167" s="0" t="s">
        <v>3469</v>
      </c>
      <c r="F167" s="0" t="s">
        <v>3089</v>
      </c>
      <c r="G167" s="0" t="s">
        <v>3470</v>
      </c>
    </row>
    <row customHeight="1" ht="11.25">
      <c r="A168" s="429" t="s">
        <v>16</v>
      </c>
      <c r="B168" s="0" t="s">
        <v>3459</v>
      </c>
      <c r="C168" s="0" t="s">
        <v>3460</v>
      </c>
      <c r="D168" s="0" t="s">
        <v>3471</v>
      </c>
      <c r="E168" s="0" t="s">
        <v>3472</v>
      </c>
      <c r="F168" s="0" t="s">
        <v>3089</v>
      </c>
      <c r="G168" s="0" t="s">
        <v>3473</v>
      </c>
    </row>
    <row customHeight="1" ht="11.25">
      <c r="A169" s="429" t="s">
        <v>16</v>
      </c>
      <c r="B169" s="0" t="s">
        <v>3459</v>
      </c>
      <c r="C169" s="0" t="s">
        <v>3460</v>
      </c>
      <c r="D169" s="0" t="s">
        <v>3474</v>
      </c>
      <c r="E169" s="0" t="s">
        <v>3475</v>
      </c>
      <c r="F169" s="0" t="s">
        <v>3089</v>
      </c>
      <c r="G169" s="0" t="s">
        <v>3476</v>
      </c>
    </row>
    <row customHeight="1" ht="11.25">
      <c r="A170" s="429" t="s">
        <v>16</v>
      </c>
      <c r="B170" s="0" t="s">
        <v>3459</v>
      </c>
      <c r="C170" s="0" t="s">
        <v>3460</v>
      </c>
      <c r="D170" s="0" t="s">
        <v>3477</v>
      </c>
      <c r="E170" s="0" t="s">
        <v>3478</v>
      </c>
      <c r="F170" s="0" t="s">
        <v>3089</v>
      </c>
      <c r="G170" s="0" t="s">
        <v>3479</v>
      </c>
    </row>
    <row customHeight="1" ht="11.25">
      <c r="A171" s="429" t="s">
        <v>16</v>
      </c>
      <c r="B171" s="0" t="s">
        <v>3459</v>
      </c>
      <c r="C171" s="0" t="s">
        <v>3460</v>
      </c>
      <c r="D171" s="0" t="s">
        <v>3480</v>
      </c>
      <c r="E171" s="0" t="s">
        <v>3481</v>
      </c>
      <c r="F171" s="0" t="s">
        <v>3089</v>
      </c>
      <c r="G171" s="0" t="s">
        <v>3482</v>
      </c>
    </row>
    <row customHeight="1" ht="11.25">
      <c r="A172" s="429" t="s">
        <v>16</v>
      </c>
      <c r="B172" s="0" t="s">
        <v>3483</v>
      </c>
      <c r="C172" s="0" t="s">
        <v>3484</v>
      </c>
      <c r="D172" s="0" t="s">
        <v>3485</v>
      </c>
      <c r="E172" s="0" t="s">
        <v>3486</v>
      </c>
      <c r="F172" s="0" t="s">
        <v>3089</v>
      </c>
      <c r="G172" s="0" t="s">
        <v>3487</v>
      </c>
    </row>
    <row customHeight="1" ht="11.25">
      <c r="A173" s="429" t="s">
        <v>16</v>
      </c>
      <c r="B173" s="0" t="s">
        <v>3483</v>
      </c>
      <c r="C173" s="0" t="s">
        <v>3484</v>
      </c>
      <c r="D173" s="0" t="s">
        <v>3488</v>
      </c>
      <c r="E173" s="0" t="s">
        <v>3489</v>
      </c>
      <c r="F173" s="0" t="s">
        <v>3089</v>
      </c>
      <c r="G173" s="0" t="s">
        <v>3490</v>
      </c>
    </row>
    <row customHeight="1" ht="11.25">
      <c r="A174" s="429" t="s">
        <v>16</v>
      </c>
      <c r="B174" s="0" t="s">
        <v>3483</v>
      </c>
      <c r="C174" s="0" t="s">
        <v>3484</v>
      </c>
      <c r="D174" s="0" t="s">
        <v>3491</v>
      </c>
      <c r="E174" s="0" t="s">
        <v>3492</v>
      </c>
      <c r="F174" s="0" t="s">
        <v>3089</v>
      </c>
      <c r="G174" s="0" t="s">
        <v>3493</v>
      </c>
    </row>
    <row customHeight="1" ht="11.25">
      <c r="A175" s="429" t="s">
        <v>16</v>
      </c>
      <c r="B175" s="0" t="s">
        <v>3483</v>
      </c>
      <c r="C175" s="0" t="s">
        <v>3484</v>
      </c>
      <c r="D175" s="0" t="s">
        <v>3494</v>
      </c>
      <c r="E175" s="0" t="s">
        <v>3495</v>
      </c>
      <c r="F175" s="0" t="s">
        <v>3089</v>
      </c>
      <c r="G175" s="0" t="s">
        <v>3496</v>
      </c>
    </row>
    <row customHeight="1" ht="11.25">
      <c r="A176" s="429" t="s">
        <v>16</v>
      </c>
      <c r="B176" s="0" t="s">
        <v>3483</v>
      </c>
      <c r="C176" s="0" t="s">
        <v>3484</v>
      </c>
      <c r="D176" s="0" t="s">
        <v>3497</v>
      </c>
      <c r="E176" s="0" t="s">
        <v>3498</v>
      </c>
      <c r="F176" s="0" t="s">
        <v>3089</v>
      </c>
      <c r="G176" s="0" t="s">
        <v>3499</v>
      </c>
    </row>
    <row customHeight="1" ht="11.25">
      <c r="A177" s="429" t="s">
        <v>16</v>
      </c>
      <c r="B177" s="0" t="s">
        <v>3483</v>
      </c>
      <c r="C177" s="0" t="s">
        <v>3484</v>
      </c>
      <c r="D177" s="0" t="s">
        <v>3483</v>
      </c>
      <c r="E177" s="0" t="s">
        <v>3484</v>
      </c>
      <c r="F177" s="0" t="s">
        <v>3090</v>
      </c>
      <c r="G177" s="0" t="s">
        <v>3500</v>
      </c>
    </row>
    <row customHeight="1" ht="11.25">
      <c r="A178" s="429" t="s">
        <v>16</v>
      </c>
      <c r="B178" s="0" t="s">
        <v>3483</v>
      </c>
      <c r="C178" s="0" t="s">
        <v>3484</v>
      </c>
      <c r="D178" s="0" t="s">
        <v>3501</v>
      </c>
      <c r="E178" s="0" t="s">
        <v>3502</v>
      </c>
      <c r="F178" s="0" t="s">
        <v>3089</v>
      </c>
      <c r="G178" s="0" t="s">
        <v>3503</v>
      </c>
    </row>
    <row customHeight="1" ht="11.25">
      <c r="A179" s="429" t="s">
        <v>16</v>
      </c>
      <c r="B179" s="0" t="s">
        <v>3483</v>
      </c>
      <c r="C179" s="0" t="s">
        <v>3484</v>
      </c>
      <c r="D179" s="0" t="s">
        <v>3504</v>
      </c>
      <c r="E179" s="0" t="s">
        <v>3505</v>
      </c>
      <c r="F179" s="0" t="s">
        <v>3089</v>
      </c>
      <c r="G179" s="0" t="s">
        <v>3506</v>
      </c>
    </row>
    <row customHeight="1" ht="11.25">
      <c r="A180" s="429" t="s">
        <v>16</v>
      </c>
      <c r="B180" s="0" t="s">
        <v>3483</v>
      </c>
      <c r="C180" s="0" t="s">
        <v>3484</v>
      </c>
      <c r="D180" s="0" t="s">
        <v>3507</v>
      </c>
      <c r="E180" s="0" t="s">
        <v>3508</v>
      </c>
      <c r="F180" s="0" t="s">
        <v>3089</v>
      </c>
      <c r="G180" s="0" t="s">
        <v>3509</v>
      </c>
    </row>
    <row customHeight="1" ht="11.25">
      <c r="A181" s="429" t="s">
        <v>16</v>
      </c>
      <c r="B181" s="0" t="s">
        <v>3483</v>
      </c>
      <c r="C181" s="0" t="s">
        <v>3484</v>
      </c>
      <c r="D181" s="0" t="s">
        <v>3510</v>
      </c>
      <c r="E181" s="0" t="s">
        <v>3511</v>
      </c>
      <c r="F181" s="0" t="s">
        <v>3089</v>
      </c>
      <c r="G181" s="0" t="s">
        <v>3512</v>
      </c>
    </row>
    <row customHeight="1" ht="11.25">
      <c r="A182" s="429" t="s">
        <v>16</v>
      </c>
      <c r="B182" s="0" t="s">
        <v>3483</v>
      </c>
      <c r="C182" s="0" t="s">
        <v>3484</v>
      </c>
      <c r="D182" s="0" t="s">
        <v>3513</v>
      </c>
      <c r="E182" s="0" t="s">
        <v>3514</v>
      </c>
      <c r="F182" s="0" t="s">
        <v>3159</v>
      </c>
      <c r="G182" s="0" t="s">
        <v>3515</v>
      </c>
    </row>
    <row customHeight="1" ht="11.25">
      <c r="A183" s="429" t="s">
        <v>16</v>
      </c>
      <c r="B183" s="0" t="s">
        <v>3516</v>
      </c>
      <c r="C183" s="0" t="s">
        <v>3517</v>
      </c>
      <c r="D183" s="0" t="s">
        <v>3518</v>
      </c>
      <c r="E183" s="0" t="s">
        <v>3519</v>
      </c>
      <c r="F183" s="0" t="s">
        <v>3089</v>
      </c>
      <c r="G183" s="0" t="s">
        <v>3520</v>
      </c>
    </row>
    <row customHeight="1" ht="11.25">
      <c r="A184" s="429" t="s">
        <v>16</v>
      </c>
      <c r="B184" s="0" t="s">
        <v>3516</v>
      </c>
      <c r="C184" s="0" t="s">
        <v>3517</v>
      </c>
      <c r="D184" s="0" t="s">
        <v>3521</v>
      </c>
      <c r="E184" s="0" t="s">
        <v>3522</v>
      </c>
      <c r="F184" s="0" t="s">
        <v>3089</v>
      </c>
      <c r="G184" s="0" t="s">
        <v>3523</v>
      </c>
    </row>
    <row customHeight="1" ht="11.25">
      <c r="A185" s="429" t="s">
        <v>16</v>
      </c>
      <c r="B185" s="0" t="s">
        <v>3516</v>
      </c>
      <c r="C185" s="0" t="s">
        <v>3517</v>
      </c>
      <c r="D185" s="0" t="s">
        <v>3524</v>
      </c>
      <c r="E185" s="0" t="s">
        <v>3525</v>
      </c>
      <c r="F185" s="0" t="s">
        <v>3089</v>
      </c>
      <c r="G185" s="0" t="s">
        <v>3526</v>
      </c>
    </row>
    <row customHeight="1" ht="11.25">
      <c r="A186" s="429" t="s">
        <v>16</v>
      </c>
      <c r="B186" s="0" t="s">
        <v>3516</v>
      </c>
      <c r="C186" s="0" t="s">
        <v>3517</v>
      </c>
      <c r="D186" s="0" t="s">
        <v>3527</v>
      </c>
      <c r="E186" s="0" t="s">
        <v>3528</v>
      </c>
      <c r="F186" s="0" t="s">
        <v>3089</v>
      </c>
      <c r="G186" s="0" t="s">
        <v>3529</v>
      </c>
    </row>
    <row customHeight="1" ht="11.25">
      <c r="A187" s="429" t="s">
        <v>16</v>
      </c>
      <c r="B187" s="0" t="s">
        <v>3516</v>
      </c>
      <c r="C187" s="0" t="s">
        <v>3517</v>
      </c>
      <c r="D187" s="0" t="s">
        <v>3530</v>
      </c>
      <c r="E187" s="0" t="s">
        <v>3531</v>
      </c>
      <c r="F187" s="0" t="s">
        <v>3089</v>
      </c>
      <c r="G187" s="0" t="s">
        <v>3532</v>
      </c>
    </row>
    <row customHeight="1" ht="11.25">
      <c r="A188" s="429" t="s">
        <v>16</v>
      </c>
      <c r="B188" s="0" t="s">
        <v>3516</v>
      </c>
      <c r="C188" s="0" t="s">
        <v>3517</v>
      </c>
      <c r="D188" s="0" t="s">
        <v>3533</v>
      </c>
      <c r="E188" s="0" t="s">
        <v>3534</v>
      </c>
      <c r="F188" s="0" t="s">
        <v>3089</v>
      </c>
      <c r="G188" s="0" t="s">
        <v>3535</v>
      </c>
    </row>
    <row customHeight="1" ht="11.25">
      <c r="A189" s="429" t="s">
        <v>16</v>
      </c>
      <c r="B189" s="0" t="s">
        <v>3516</v>
      </c>
      <c r="C189" s="0" t="s">
        <v>3517</v>
      </c>
      <c r="D189" s="0" t="s">
        <v>3536</v>
      </c>
      <c r="E189" s="0" t="s">
        <v>3537</v>
      </c>
      <c r="F189" s="0" t="s">
        <v>3089</v>
      </c>
      <c r="G189" s="0" t="s">
        <v>3538</v>
      </c>
    </row>
    <row customHeight="1" ht="11.25">
      <c r="A190" s="429" t="s">
        <v>16</v>
      </c>
      <c r="B190" s="0" t="s">
        <v>3516</v>
      </c>
      <c r="C190" s="0" t="s">
        <v>3517</v>
      </c>
      <c r="D190" s="0" t="s">
        <v>3539</v>
      </c>
      <c r="E190" s="0" t="s">
        <v>3540</v>
      </c>
      <c r="F190" s="0" t="s">
        <v>3089</v>
      </c>
      <c r="G190" s="0" t="s">
        <v>3541</v>
      </c>
    </row>
    <row customHeight="1" ht="11.25">
      <c r="A191" s="429" t="s">
        <v>16</v>
      </c>
      <c r="B191" s="0" t="s">
        <v>3516</v>
      </c>
      <c r="C191" s="0" t="s">
        <v>3517</v>
      </c>
      <c r="D191" s="0" t="s">
        <v>3516</v>
      </c>
      <c r="E191" s="0" t="s">
        <v>3517</v>
      </c>
      <c r="F191" s="0" t="s">
        <v>3090</v>
      </c>
      <c r="G191" s="0" t="s">
        <v>3542</v>
      </c>
    </row>
    <row customHeight="1" ht="11.25">
      <c r="A192" s="429" t="s">
        <v>16</v>
      </c>
      <c r="B192" s="0" t="s">
        <v>3516</v>
      </c>
      <c r="C192" s="0" t="s">
        <v>3517</v>
      </c>
      <c r="D192" s="0" t="s">
        <v>3543</v>
      </c>
      <c r="E192" s="0" t="s">
        <v>3544</v>
      </c>
      <c r="F192" s="0" t="s">
        <v>3089</v>
      </c>
      <c r="G192" s="0" t="s">
        <v>3545</v>
      </c>
    </row>
    <row customHeight="1" ht="11.25">
      <c r="A193" s="429" t="s">
        <v>16</v>
      </c>
      <c r="B193" s="0" t="s">
        <v>3516</v>
      </c>
      <c r="C193" s="0" t="s">
        <v>3517</v>
      </c>
      <c r="D193" s="0" t="s">
        <v>3546</v>
      </c>
      <c r="E193" s="0" t="s">
        <v>3547</v>
      </c>
      <c r="F193" s="0" t="s">
        <v>3089</v>
      </c>
      <c r="G193" s="0" t="s">
        <v>3548</v>
      </c>
    </row>
    <row customHeight="1" ht="11.25">
      <c r="A194" s="429" t="s">
        <v>16</v>
      </c>
      <c r="B194" s="0" t="s">
        <v>3516</v>
      </c>
      <c r="C194" s="0" t="s">
        <v>3517</v>
      </c>
      <c r="D194" s="0" t="s">
        <v>3549</v>
      </c>
      <c r="E194" s="0" t="s">
        <v>3550</v>
      </c>
      <c r="F194" s="0" t="s">
        <v>3089</v>
      </c>
      <c r="G194" s="0" t="s">
        <v>3551</v>
      </c>
    </row>
    <row customHeight="1" ht="11.25">
      <c r="A195" s="429" t="s">
        <v>16</v>
      </c>
      <c r="B195" s="0" t="s">
        <v>3516</v>
      </c>
      <c r="C195" s="0" t="s">
        <v>3517</v>
      </c>
      <c r="D195" s="0" t="s">
        <v>3552</v>
      </c>
      <c r="E195" s="0" t="s">
        <v>3553</v>
      </c>
      <c r="F195" s="0" t="s">
        <v>3089</v>
      </c>
      <c r="G195" s="0" t="s">
        <v>3554</v>
      </c>
    </row>
    <row customHeight="1" ht="11.25">
      <c r="A196" s="429" t="s">
        <v>16</v>
      </c>
      <c r="B196" s="0" t="s">
        <v>3516</v>
      </c>
      <c r="C196" s="0" t="s">
        <v>3517</v>
      </c>
      <c r="D196" s="0" t="s">
        <v>3555</v>
      </c>
      <c r="E196" s="0" t="s">
        <v>3556</v>
      </c>
      <c r="F196" s="0" t="s">
        <v>3214</v>
      </c>
      <c r="G196" s="0" t="s">
        <v>3557</v>
      </c>
    </row>
    <row customHeight="1" ht="11.25">
      <c r="A197" s="429" t="s">
        <v>16</v>
      </c>
      <c r="B197" s="0" t="s">
        <v>3558</v>
      </c>
      <c r="C197" s="0" t="s">
        <v>3559</v>
      </c>
      <c r="D197" s="0" t="s">
        <v>3560</v>
      </c>
      <c r="E197" s="0" t="s">
        <v>3561</v>
      </c>
      <c r="F197" s="0" t="s">
        <v>3089</v>
      </c>
      <c r="G197" s="0" t="s">
        <v>3562</v>
      </c>
    </row>
    <row customHeight="1" ht="11.25">
      <c r="A198" s="429" t="s">
        <v>16</v>
      </c>
      <c r="B198" s="0" t="s">
        <v>3558</v>
      </c>
      <c r="C198" s="0" t="s">
        <v>3559</v>
      </c>
      <c r="D198" s="0" t="s">
        <v>3563</v>
      </c>
      <c r="E198" s="0" t="s">
        <v>3564</v>
      </c>
      <c r="F198" s="0" t="s">
        <v>3089</v>
      </c>
      <c r="G198" s="0" t="s">
        <v>3565</v>
      </c>
    </row>
    <row customHeight="1" ht="11.25">
      <c r="A199" s="429" t="s">
        <v>16</v>
      </c>
      <c r="B199" s="0" t="s">
        <v>3558</v>
      </c>
      <c r="C199" s="0" t="s">
        <v>3559</v>
      </c>
      <c r="D199" s="0" t="s">
        <v>3566</v>
      </c>
      <c r="E199" s="0" t="s">
        <v>3567</v>
      </c>
      <c r="F199" s="0" t="s">
        <v>3089</v>
      </c>
      <c r="G199" s="0" t="s">
        <v>3568</v>
      </c>
    </row>
    <row customHeight="1" ht="11.25">
      <c r="A200" s="429" t="s">
        <v>16</v>
      </c>
      <c r="B200" s="0" t="s">
        <v>3558</v>
      </c>
      <c r="C200" s="0" t="s">
        <v>3559</v>
      </c>
      <c r="D200" s="0" t="s">
        <v>3569</v>
      </c>
      <c r="E200" s="0" t="s">
        <v>3570</v>
      </c>
      <c r="F200" s="0" t="s">
        <v>3089</v>
      </c>
      <c r="G200" s="0" t="s">
        <v>3571</v>
      </c>
    </row>
    <row customHeight="1" ht="11.25">
      <c r="A201" s="429" t="s">
        <v>16</v>
      </c>
      <c r="B201" s="0" t="s">
        <v>3558</v>
      </c>
      <c r="C201" s="0" t="s">
        <v>3559</v>
      </c>
      <c r="D201" s="0" t="s">
        <v>3572</v>
      </c>
      <c r="E201" s="0" t="s">
        <v>3573</v>
      </c>
      <c r="F201" s="0" t="s">
        <v>3089</v>
      </c>
      <c r="G201" s="0" t="s">
        <v>3574</v>
      </c>
    </row>
    <row customHeight="1" ht="11.25">
      <c r="A202" s="429" t="s">
        <v>16</v>
      </c>
      <c r="B202" s="0" t="s">
        <v>3558</v>
      </c>
      <c r="C202" s="0" t="s">
        <v>3559</v>
      </c>
      <c r="D202" s="0" t="s">
        <v>3176</v>
      </c>
      <c r="E202" s="0" t="s">
        <v>3575</v>
      </c>
      <c r="F202" s="0" t="s">
        <v>3089</v>
      </c>
      <c r="G202" s="0" t="s">
        <v>3576</v>
      </c>
    </row>
    <row customHeight="1" ht="11.25">
      <c r="A203" s="429" t="s">
        <v>16</v>
      </c>
      <c r="B203" s="0" t="s">
        <v>3558</v>
      </c>
      <c r="C203" s="0" t="s">
        <v>3559</v>
      </c>
      <c r="D203" s="0" t="s">
        <v>3558</v>
      </c>
      <c r="E203" s="0" t="s">
        <v>3559</v>
      </c>
      <c r="F203" s="0" t="s">
        <v>3090</v>
      </c>
      <c r="G203" s="0" t="s">
        <v>3577</v>
      </c>
    </row>
    <row customHeight="1" ht="11.25">
      <c r="A204" s="429" t="s">
        <v>16</v>
      </c>
      <c r="B204" s="0" t="s">
        <v>3558</v>
      </c>
      <c r="C204" s="0" t="s">
        <v>3559</v>
      </c>
      <c r="D204" s="0" t="s">
        <v>3578</v>
      </c>
      <c r="E204" s="0" t="s">
        <v>3579</v>
      </c>
      <c r="F204" s="0" t="s">
        <v>3089</v>
      </c>
      <c r="G204" s="0" t="s">
        <v>3580</v>
      </c>
    </row>
    <row customHeight="1" ht="11.25">
      <c r="A205" s="429" t="s">
        <v>16</v>
      </c>
      <c r="B205" s="0" t="s">
        <v>3558</v>
      </c>
      <c r="C205" s="0" t="s">
        <v>3559</v>
      </c>
      <c r="D205" s="0" t="s">
        <v>3581</v>
      </c>
      <c r="E205" s="0" t="s">
        <v>3582</v>
      </c>
      <c r="F205" s="0" t="s">
        <v>3089</v>
      </c>
      <c r="G205" s="0" t="s">
        <v>3583</v>
      </c>
    </row>
    <row customHeight="1" ht="11.25">
      <c r="A206" s="429" t="s">
        <v>16</v>
      </c>
      <c r="B206" s="0" t="s">
        <v>3558</v>
      </c>
      <c r="C206" s="0" t="s">
        <v>3559</v>
      </c>
      <c r="D206" s="0" t="s">
        <v>3584</v>
      </c>
      <c r="E206" s="0" t="s">
        <v>3585</v>
      </c>
      <c r="F206" s="0" t="s">
        <v>3089</v>
      </c>
      <c r="G206" s="0" t="s">
        <v>3586</v>
      </c>
    </row>
    <row customHeight="1" ht="11.25">
      <c r="A207" s="429" t="s">
        <v>16</v>
      </c>
      <c r="B207" s="0" t="s">
        <v>3558</v>
      </c>
      <c r="C207" s="0" t="s">
        <v>3559</v>
      </c>
      <c r="D207" s="0" t="s">
        <v>3587</v>
      </c>
      <c r="E207" s="0" t="s">
        <v>3588</v>
      </c>
      <c r="F207" s="0" t="s">
        <v>3089</v>
      </c>
      <c r="G207" s="0" t="s">
        <v>3589</v>
      </c>
    </row>
    <row customHeight="1" ht="11.25">
      <c r="A208" s="429" t="s">
        <v>16</v>
      </c>
      <c r="B208" s="0" t="s">
        <v>3558</v>
      </c>
      <c r="C208" s="0" t="s">
        <v>3559</v>
      </c>
      <c r="D208" s="0" t="s">
        <v>3590</v>
      </c>
      <c r="E208" s="0" t="s">
        <v>3591</v>
      </c>
      <c r="F208" s="0" t="s">
        <v>3159</v>
      </c>
      <c r="G208" s="0" t="s">
        <v>3592</v>
      </c>
    </row>
    <row customHeight="1" ht="11.25">
      <c r="A209" s="429" t="s">
        <v>16</v>
      </c>
      <c r="B209" s="0" t="s">
        <v>3593</v>
      </c>
      <c r="C209" s="0" t="s">
        <v>3594</v>
      </c>
      <c r="D209" s="0" t="s">
        <v>3595</v>
      </c>
      <c r="E209" s="0" t="s">
        <v>3596</v>
      </c>
      <c r="F209" s="0" t="s">
        <v>3089</v>
      </c>
      <c r="G209" s="0" t="s">
        <v>3597</v>
      </c>
    </row>
    <row customHeight="1" ht="11.25">
      <c r="A210" s="429" t="s">
        <v>16</v>
      </c>
      <c r="B210" s="0" t="s">
        <v>3593</v>
      </c>
      <c r="C210" s="0" t="s">
        <v>3594</v>
      </c>
      <c r="D210" s="0" t="s">
        <v>3598</v>
      </c>
      <c r="E210" s="0" t="s">
        <v>3599</v>
      </c>
      <c r="F210" s="0" t="s">
        <v>3089</v>
      </c>
      <c r="G210" s="0" t="s">
        <v>3600</v>
      </c>
    </row>
    <row customHeight="1" ht="11.25">
      <c r="A211" s="429" t="s">
        <v>16</v>
      </c>
      <c r="B211" s="0" t="s">
        <v>3593</v>
      </c>
      <c r="C211" s="0" t="s">
        <v>3594</v>
      </c>
      <c r="D211" s="0" t="s">
        <v>3601</v>
      </c>
      <c r="E211" s="0" t="s">
        <v>3602</v>
      </c>
      <c r="F211" s="0" t="s">
        <v>3089</v>
      </c>
      <c r="G211" s="0" t="s">
        <v>3603</v>
      </c>
    </row>
    <row customHeight="1" ht="11.25">
      <c r="A212" s="429" t="s">
        <v>16</v>
      </c>
      <c r="B212" s="0" t="s">
        <v>3593</v>
      </c>
      <c r="C212" s="0" t="s">
        <v>3594</v>
      </c>
      <c r="D212" s="0" t="s">
        <v>3604</v>
      </c>
      <c r="E212" s="0" t="s">
        <v>3605</v>
      </c>
      <c r="F212" s="0" t="s">
        <v>3089</v>
      </c>
      <c r="G212" s="0" t="s">
        <v>3606</v>
      </c>
    </row>
    <row customHeight="1" ht="11.25">
      <c r="A213" s="429" t="s">
        <v>16</v>
      </c>
      <c r="B213" s="0" t="s">
        <v>3593</v>
      </c>
      <c r="C213" s="0" t="s">
        <v>3594</v>
      </c>
      <c r="D213" s="0" t="s">
        <v>3607</v>
      </c>
      <c r="E213" s="0" t="s">
        <v>3608</v>
      </c>
      <c r="F213" s="0" t="s">
        <v>3089</v>
      </c>
      <c r="G213" s="0" t="s">
        <v>3609</v>
      </c>
    </row>
    <row customHeight="1" ht="11.25">
      <c r="A214" s="429" t="s">
        <v>16</v>
      </c>
      <c r="B214" s="0" t="s">
        <v>3593</v>
      </c>
      <c r="C214" s="0" t="s">
        <v>3594</v>
      </c>
      <c r="D214" s="0" t="s">
        <v>3610</v>
      </c>
      <c r="E214" s="0" t="s">
        <v>3611</v>
      </c>
      <c r="F214" s="0" t="s">
        <v>3089</v>
      </c>
      <c r="G214" s="0" t="s">
        <v>3612</v>
      </c>
    </row>
    <row customHeight="1" ht="11.25">
      <c r="A215" s="429" t="s">
        <v>16</v>
      </c>
      <c r="B215" s="0" t="s">
        <v>3593</v>
      </c>
      <c r="C215" s="0" t="s">
        <v>3594</v>
      </c>
      <c r="D215" s="0" t="s">
        <v>3613</v>
      </c>
      <c r="E215" s="0" t="s">
        <v>3614</v>
      </c>
      <c r="F215" s="0" t="s">
        <v>3089</v>
      </c>
      <c r="G215" s="0" t="s">
        <v>3615</v>
      </c>
    </row>
    <row customHeight="1" ht="11.25">
      <c r="A216" s="429" t="s">
        <v>16</v>
      </c>
      <c r="B216" s="0" t="s">
        <v>3593</v>
      </c>
      <c r="C216" s="0" t="s">
        <v>3594</v>
      </c>
      <c r="D216" s="0" t="s">
        <v>3593</v>
      </c>
      <c r="E216" s="0" t="s">
        <v>3594</v>
      </c>
      <c r="F216" s="0" t="s">
        <v>3090</v>
      </c>
      <c r="G216" s="0" t="s">
        <v>3616</v>
      </c>
    </row>
    <row customHeight="1" ht="11.25">
      <c r="A217" s="429" t="s">
        <v>16</v>
      </c>
      <c r="B217" s="0" t="s">
        <v>3593</v>
      </c>
      <c r="C217" s="0" t="s">
        <v>3594</v>
      </c>
      <c r="D217" s="0" t="s">
        <v>3617</v>
      </c>
      <c r="E217" s="0" t="s">
        <v>3618</v>
      </c>
      <c r="F217" s="0" t="s">
        <v>3159</v>
      </c>
      <c r="G217" s="0" t="s">
        <v>3619</v>
      </c>
    </row>
    <row customHeight="1" ht="11.25">
      <c r="A218" s="429" t="s">
        <v>16</v>
      </c>
      <c r="B218" s="0" t="s">
        <v>3620</v>
      </c>
      <c r="C218" s="0" t="s">
        <v>3621</v>
      </c>
      <c r="D218" s="0" t="s">
        <v>3622</v>
      </c>
      <c r="E218" s="0" t="s">
        <v>3623</v>
      </c>
      <c r="F218" s="0" t="s">
        <v>3089</v>
      </c>
      <c r="G218" s="0" t="s">
        <v>3624</v>
      </c>
    </row>
    <row customHeight="1" ht="11.25">
      <c r="A219" s="429" t="s">
        <v>16</v>
      </c>
      <c r="B219" s="0" t="s">
        <v>3620</v>
      </c>
      <c r="C219" s="0" t="s">
        <v>3621</v>
      </c>
      <c r="D219" s="0" t="s">
        <v>3305</v>
      </c>
      <c r="E219" s="0" t="s">
        <v>3625</v>
      </c>
      <c r="F219" s="0" t="s">
        <v>3089</v>
      </c>
      <c r="G219" s="0" t="s">
        <v>3626</v>
      </c>
    </row>
    <row customHeight="1" ht="11.25">
      <c r="A220" s="429" t="s">
        <v>16</v>
      </c>
      <c r="B220" s="0" t="s">
        <v>3620</v>
      </c>
      <c r="C220" s="0" t="s">
        <v>3621</v>
      </c>
      <c r="D220" s="0" t="s">
        <v>3627</v>
      </c>
      <c r="E220" s="0" t="s">
        <v>3628</v>
      </c>
      <c r="F220" s="0" t="s">
        <v>3089</v>
      </c>
      <c r="G220" s="0" t="s">
        <v>3629</v>
      </c>
    </row>
    <row customHeight="1" ht="11.25">
      <c r="A221" s="429" t="s">
        <v>16</v>
      </c>
      <c r="B221" s="0" t="s">
        <v>3620</v>
      </c>
      <c r="C221" s="0" t="s">
        <v>3621</v>
      </c>
      <c r="D221" s="0" t="s">
        <v>3620</v>
      </c>
      <c r="E221" s="0" t="s">
        <v>3621</v>
      </c>
      <c r="F221" s="0" t="s">
        <v>3090</v>
      </c>
      <c r="G221" s="0" t="s">
        <v>3630</v>
      </c>
    </row>
    <row customHeight="1" ht="11.25">
      <c r="A222" s="429" t="s">
        <v>16</v>
      </c>
      <c r="B222" s="0" t="s">
        <v>3620</v>
      </c>
      <c r="C222" s="0" t="s">
        <v>3621</v>
      </c>
      <c r="D222" s="0" t="s">
        <v>3631</v>
      </c>
      <c r="E222" s="0" t="s">
        <v>3632</v>
      </c>
      <c r="F222" s="0" t="s">
        <v>3089</v>
      </c>
      <c r="G222" s="0" t="s">
        <v>3633</v>
      </c>
    </row>
    <row customHeight="1" ht="11.25">
      <c r="A223" s="429" t="s">
        <v>16</v>
      </c>
      <c r="B223" s="0" t="s">
        <v>3620</v>
      </c>
      <c r="C223" s="0" t="s">
        <v>3621</v>
      </c>
      <c r="D223" s="0" t="s">
        <v>3634</v>
      </c>
      <c r="E223" s="0" t="s">
        <v>3635</v>
      </c>
      <c r="F223" s="0" t="s">
        <v>3089</v>
      </c>
      <c r="G223" s="0" t="s">
        <v>3636</v>
      </c>
    </row>
    <row customHeight="1" ht="11.25">
      <c r="A224" s="429" t="s">
        <v>16</v>
      </c>
      <c r="B224" s="0" t="s">
        <v>3620</v>
      </c>
      <c r="C224" s="0" t="s">
        <v>3621</v>
      </c>
      <c r="D224" s="0" t="s">
        <v>3637</v>
      </c>
      <c r="E224" s="0" t="s">
        <v>3638</v>
      </c>
      <c r="F224" s="0" t="s">
        <v>3089</v>
      </c>
      <c r="G224" s="0" t="s">
        <v>3639</v>
      </c>
    </row>
    <row customHeight="1" ht="11.25">
      <c r="A225" s="429" t="s">
        <v>16</v>
      </c>
      <c r="B225" s="0" t="s">
        <v>3620</v>
      </c>
      <c r="C225" s="0" t="s">
        <v>3621</v>
      </c>
      <c r="D225" s="0" t="s">
        <v>3640</v>
      </c>
      <c r="E225" s="0" t="s">
        <v>3641</v>
      </c>
      <c r="F225" s="0" t="s">
        <v>3089</v>
      </c>
      <c r="G225" s="0" t="s">
        <v>3642</v>
      </c>
    </row>
    <row customHeight="1" ht="11.25">
      <c r="A226" s="429" t="s">
        <v>16</v>
      </c>
      <c r="B226" s="0" t="s">
        <v>3620</v>
      </c>
      <c r="C226" s="0" t="s">
        <v>3621</v>
      </c>
      <c r="D226" s="0" t="s">
        <v>3643</v>
      </c>
      <c r="E226" s="0" t="s">
        <v>3644</v>
      </c>
      <c r="F226" s="0" t="s">
        <v>3089</v>
      </c>
      <c r="G226" s="0" t="s">
        <v>3645</v>
      </c>
    </row>
    <row customHeight="1" ht="11.25">
      <c r="A227" s="429" t="s">
        <v>16</v>
      </c>
      <c r="B227" s="0" t="s">
        <v>3620</v>
      </c>
      <c r="C227" s="0" t="s">
        <v>3621</v>
      </c>
      <c r="D227" s="0" t="s">
        <v>3646</v>
      </c>
      <c r="E227" s="0" t="s">
        <v>3647</v>
      </c>
      <c r="F227" s="0" t="s">
        <v>3159</v>
      </c>
      <c r="G227" s="0" t="s">
        <v>3648</v>
      </c>
    </row>
    <row customHeight="1" ht="11.25">
      <c r="A228" s="429" t="s">
        <v>16</v>
      </c>
      <c r="B228" s="0" t="s">
        <v>3620</v>
      </c>
      <c r="C228" s="0" t="s">
        <v>3621</v>
      </c>
      <c r="D228" s="0" t="s">
        <v>3649</v>
      </c>
      <c r="E228" s="0" t="s">
        <v>3650</v>
      </c>
      <c r="F228" s="0" t="s">
        <v>3159</v>
      </c>
      <c r="G228" s="0" t="s">
        <v>3651</v>
      </c>
    </row>
    <row customHeight="1" ht="11.25">
      <c r="A229" s="429" t="s">
        <v>16</v>
      </c>
      <c r="B229" s="0" t="s">
        <v>3652</v>
      </c>
      <c r="C229" s="0" t="s">
        <v>3653</v>
      </c>
      <c r="D229" s="0" t="s">
        <v>3654</v>
      </c>
      <c r="E229" s="0" t="s">
        <v>3655</v>
      </c>
      <c r="F229" s="0" t="s">
        <v>3089</v>
      </c>
      <c r="G229" s="0" t="s">
        <v>3656</v>
      </c>
    </row>
    <row customHeight="1" ht="11.25">
      <c r="A230" s="429" t="s">
        <v>16</v>
      </c>
      <c r="B230" s="0" t="s">
        <v>3652</v>
      </c>
      <c r="C230" s="0" t="s">
        <v>3653</v>
      </c>
      <c r="D230" s="0" t="s">
        <v>3657</v>
      </c>
      <c r="E230" s="0" t="s">
        <v>3658</v>
      </c>
      <c r="F230" s="0" t="s">
        <v>3089</v>
      </c>
      <c r="G230" s="0" t="s">
        <v>3659</v>
      </c>
    </row>
    <row customHeight="1" ht="11.25">
      <c r="A231" s="429" t="s">
        <v>16</v>
      </c>
      <c r="B231" s="0" t="s">
        <v>3652</v>
      </c>
      <c r="C231" s="0" t="s">
        <v>3653</v>
      </c>
      <c r="D231" s="0" t="s">
        <v>3660</v>
      </c>
      <c r="E231" s="0" t="s">
        <v>3661</v>
      </c>
      <c r="F231" s="0" t="s">
        <v>3089</v>
      </c>
      <c r="G231" s="0" t="s">
        <v>3662</v>
      </c>
    </row>
    <row customHeight="1" ht="11.25">
      <c r="A232" s="429" t="s">
        <v>16</v>
      </c>
      <c r="B232" s="0" t="s">
        <v>3652</v>
      </c>
      <c r="C232" s="0" t="s">
        <v>3653</v>
      </c>
      <c r="D232" s="0" t="s">
        <v>3663</v>
      </c>
      <c r="E232" s="0" t="s">
        <v>3664</v>
      </c>
      <c r="F232" s="0" t="s">
        <v>3089</v>
      </c>
      <c r="G232" s="0" t="s">
        <v>3665</v>
      </c>
    </row>
    <row customHeight="1" ht="11.25">
      <c r="A233" s="429" t="s">
        <v>16</v>
      </c>
      <c r="B233" s="0" t="s">
        <v>3652</v>
      </c>
      <c r="C233" s="0" t="s">
        <v>3653</v>
      </c>
      <c r="D233" s="0" t="s">
        <v>3666</v>
      </c>
      <c r="E233" s="0" t="s">
        <v>3667</v>
      </c>
      <c r="F233" s="0" t="s">
        <v>3089</v>
      </c>
      <c r="G233" s="0" t="s">
        <v>3668</v>
      </c>
    </row>
    <row customHeight="1" ht="11.25">
      <c r="A234" s="429" t="s">
        <v>16</v>
      </c>
      <c r="B234" s="0" t="s">
        <v>3652</v>
      </c>
      <c r="C234" s="0" t="s">
        <v>3653</v>
      </c>
      <c r="D234" s="0" t="s">
        <v>3669</v>
      </c>
      <c r="E234" s="0" t="s">
        <v>3670</v>
      </c>
      <c r="F234" s="0" t="s">
        <v>3089</v>
      </c>
      <c r="G234" s="0" t="s">
        <v>3671</v>
      </c>
    </row>
    <row customHeight="1" ht="11.25">
      <c r="A235" s="429" t="s">
        <v>16</v>
      </c>
      <c r="B235" s="0" t="s">
        <v>3652</v>
      </c>
      <c r="C235" s="0" t="s">
        <v>3653</v>
      </c>
      <c r="D235" s="0" t="s">
        <v>3235</v>
      </c>
      <c r="E235" s="0" t="s">
        <v>3672</v>
      </c>
      <c r="F235" s="0" t="s">
        <v>3089</v>
      </c>
      <c r="G235" s="0" t="s">
        <v>3673</v>
      </c>
    </row>
    <row customHeight="1" ht="11.25">
      <c r="A236" s="429" t="s">
        <v>16</v>
      </c>
      <c r="B236" s="0" t="s">
        <v>3652</v>
      </c>
      <c r="C236" s="0" t="s">
        <v>3653</v>
      </c>
      <c r="D236" s="0" t="s">
        <v>3674</v>
      </c>
      <c r="E236" s="0" t="s">
        <v>3675</v>
      </c>
      <c r="F236" s="0" t="s">
        <v>3089</v>
      </c>
      <c r="G236" s="0" t="s">
        <v>3676</v>
      </c>
    </row>
    <row customHeight="1" ht="11.25">
      <c r="A237" s="429" t="s">
        <v>16</v>
      </c>
      <c r="B237" s="0" t="s">
        <v>3652</v>
      </c>
      <c r="C237" s="0" t="s">
        <v>3653</v>
      </c>
      <c r="D237" s="0" t="s">
        <v>3677</v>
      </c>
      <c r="E237" s="0" t="s">
        <v>3678</v>
      </c>
      <c r="F237" s="0" t="s">
        <v>3089</v>
      </c>
      <c r="G237" s="0" t="s">
        <v>3679</v>
      </c>
    </row>
    <row customHeight="1" ht="11.25">
      <c r="A238" s="429" t="s">
        <v>16</v>
      </c>
      <c r="B238" s="0" t="s">
        <v>3652</v>
      </c>
      <c r="C238" s="0" t="s">
        <v>3653</v>
      </c>
      <c r="D238" s="0" t="s">
        <v>3680</v>
      </c>
      <c r="E238" s="0" t="s">
        <v>3681</v>
      </c>
      <c r="F238" s="0" t="s">
        <v>3089</v>
      </c>
      <c r="G238" s="0" t="s">
        <v>3682</v>
      </c>
    </row>
    <row customHeight="1" ht="11.25">
      <c r="A239" s="429" t="s">
        <v>16</v>
      </c>
      <c r="B239" s="0" t="s">
        <v>3652</v>
      </c>
      <c r="C239" s="0" t="s">
        <v>3653</v>
      </c>
      <c r="D239" s="0" t="s">
        <v>3683</v>
      </c>
      <c r="E239" s="0" t="s">
        <v>3684</v>
      </c>
      <c r="F239" s="0" t="s">
        <v>3089</v>
      </c>
      <c r="G239" s="0" t="s">
        <v>3685</v>
      </c>
    </row>
    <row customHeight="1" ht="11.25">
      <c r="A240" s="429" t="s">
        <v>16</v>
      </c>
      <c r="B240" s="0" t="s">
        <v>3652</v>
      </c>
      <c r="C240" s="0" t="s">
        <v>3653</v>
      </c>
      <c r="D240" s="0" t="s">
        <v>3686</v>
      </c>
      <c r="E240" s="0" t="s">
        <v>3687</v>
      </c>
      <c r="F240" s="0" t="s">
        <v>3089</v>
      </c>
      <c r="G240" s="0" t="s">
        <v>3688</v>
      </c>
    </row>
    <row customHeight="1" ht="11.25">
      <c r="A241" s="429" t="s">
        <v>16</v>
      </c>
      <c r="B241" s="0" t="s">
        <v>3652</v>
      </c>
      <c r="C241" s="0" t="s">
        <v>3653</v>
      </c>
      <c r="D241" s="0" t="s">
        <v>3652</v>
      </c>
      <c r="E241" s="0" t="s">
        <v>3653</v>
      </c>
      <c r="F241" s="0" t="s">
        <v>3090</v>
      </c>
      <c r="G241" s="0" t="s">
        <v>3689</v>
      </c>
    </row>
    <row customHeight="1" ht="11.25">
      <c r="A242" s="429" t="s">
        <v>16</v>
      </c>
      <c r="B242" s="0" t="s">
        <v>3652</v>
      </c>
      <c r="C242" s="0" t="s">
        <v>3653</v>
      </c>
      <c r="D242" s="0" t="s">
        <v>3246</v>
      </c>
      <c r="E242" s="0" t="s">
        <v>3690</v>
      </c>
      <c r="F242" s="0" t="s">
        <v>3089</v>
      </c>
      <c r="G242" s="0" t="s">
        <v>3691</v>
      </c>
    </row>
    <row customHeight="1" ht="11.25">
      <c r="A243" s="429" t="s">
        <v>16</v>
      </c>
      <c r="B243" s="0" t="s">
        <v>3652</v>
      </c>
      <c r="C243" s="0" t="s">
        <v>3653</v>
      </c>
      <c r="D243" s="0" t="s">
        <v>3692</v>
      </c>
      <c r="E243" s="0" t="s">
        <v>3693</v>
      </c>
      <c r="F243" s="0" t="s">
        <v>3089</v>
      </c>
      <c r="G243" s="0" t="s">
        <v>3694</v>
      </c>
    </row>
    <row customHeight="1" ht="11.25">
      <c r="A244" s="429" t="s">
        <v>16</v>
      </c>
      <c r="B244" s="0" t="s">
        <v>3652</v>
      </c>
      <c r="C244" s="0" t="s">
        <v>3653</v>
      </c>
      <c r="D244" s="0" t="s">
        <v>3695</v>
      </c>
      <c r="E244" s="0" t="s">
        <v>3696</v>
      </c>
      <c r="F244" s="0" t="s">
        <v>3214</v>
      </c>
      <c r="G244" s="0" t="s">
        <v>3697</v>
      </c>
    </row>
    <row customHeight="1" ht="11.25">
      <c r="A245" s="429" t="s">
        <v>16</v>
      </c>
      <c r="B245" s="0" t="s">
        <v>3698</v>
      </c>
      <c r="C245" s="0" t="s">
        <v>3699</v>
      </c>
      <c r="D245" s="0" t="s">
        <v>3700</v>
      </c>
      <c r="E245" s="0" t="s">
        <v>3701</v>
      </c>
      <c r="F245" s="0" t="s">
        <v>3089</v>
      </c>
      <c r="G245" s="0" t="s">
        <v>3702</v>
      </c>
    </row>
    <row customHeight="1" ht="11.25">
      <c r="A246" s="429" t="s">
        <v>16</v>
      </c>
      <c r="B246" s="0" t="s">
        <v>3698</v>
      </c>
      <c r="C246" s="0" t="s">
        <v>3699</v>
      </c>
      <c r="D246" s="0" t="s">
        <v>3703</v>
      </c>
      <c r="E246" s="0" t="s">
        <v>3704</v>
      </c>
      <c r="F246" s="0" t="s">
        <v>3089</v>
      </c>
      <c r="G246" s="0" t="s">
        <v>3705</v>
      </c>
    </row>
    <row customHeight="1" ht="11.25">
      <c r="A247" s="429" t="s">
        <v>16</v>
      </c>
      <c r="B247" s="0" t="s">
        <v>3698</v>
      </c>
      <c r="C247" s="0" t="s">
        <v>3699</v>
      </c>
      <c r="D247" s="0" t="s">
        <v>3706</v>
      </c>
      <c r="E247" s="0" t="s">
        <v>3707</v>
      </c>
      <c r="F247" s="0" t="s">
        <v>3089</v>
      </c>
      <c r="G247" s="0" t="s">
        <v>3708</v>
      </c>
    </row>
    <row customHeight="1" ht="11.25">
      <c r="A248" s="429" t="s">
        <v>16</v>
      </c>
      <c r="B248" s="0" t="s">
        <v>3698</v>
      </c>
      <c r="C248" s="0" t="s">
        <v>3699</v>
      </c>
      <c r="D248" s="0" t="s">
        <v>3308</v>
      </c>
      <c r="E248" s="0" t="s">
        <v>3709</v>
      </c>
      <c r="F248" s="0" t="s">
        <v>3089</v>
      </c>
      <c r="G248" s="0" t="s">
        <v>3710</v>
      </c>
    </row>
    <row customHeight="1" ht="11.25">
      <c r="A249" s="429" t="s">
        <v>16</v>
      </c>
      <c r="B249" s="0" t="s">
        <v>3698</v>
      </c>
      <c r="C249" s="0" t="s">
        <v>3699</v>
      </c>
      <c r="D249" s="0" t="s">
        <v>3711</v>
      </c>
      <c r="E249" s="0" t="s">
        <v>3712</v>
      </c>
      <c r="F249" s="0" t="s">
        <v>3089</v>
      </c>
      <c r="G249" s="0" t="s">
        <v>3713</v>
      </c>
    </row>
    <row customHeight="1" ht="11.25">
      <c r="A250" s="429" t="s">
        <v>16</v>
      </c>
      <c r="B250" s="0" t="s">
        <v>3698</v>
      </c>
      <c r="C250" s="0" t="s">
        <v>3699</v>
      </c>
      <c r="D250" s="0" t="s">
        <v>3317</v>
      </c>
      <c r="E250" s="0" t="s">
        <v>3714</v>
      </c>
      <c r="F250" s="0" t="s">
        <v>3089</v>
      </c>
      <c r="G250" s="0" t="s">
        <v>3715</v>
      </c>
    </row>
    <row customHeight="1" ht="11.25">
      <c r="A251" s="429" t="s">
        <v>16</v>
      </c>
      <c r="B251" s="0" t="s">
        <v>3698</v>
      </c>
      <c r="C251" s="0" t="s">
        <v>3699</v>
      </c>
      <c r="D251" s="0" t="s">
        <v>3716</v>
      </c>
      <c r="E251" s="0" t="s">
        <v>3717</v>
      </c>
      <c r="F251" s="0" t="s">
        <v>3089</v>
      </c>
      <c r="G251" s="0" t="s">
        <v>3718</v>
      </c>
    </row>
    <row customHeight="1" ht="11.25">
      <c r="A252" s="429" t="s">
        <v>16</v>
      </c>
      <c r="B252" s="0" t="s">
        <v>3698</v>
      </c>
      <c r="C252" s="0" t="s">
        <v>3699</v>
      </c>
      <c r="D252" s="0" t="s">
        <v>3719</v>
      </c>
      <c r="E252" s="0" t="s">
        <v>3720</v>
      </c>
      <c r="F252" s="0" t="s">
        <v>3089</v>
      </c>
      <c r="G252" s="0" t="s">
        <v>3721</v>
      </c>
    </row>
    <row customHeight="1" ht="11.25">
      <c r="A253" s="429" t="s">
        <v>16</v>
      </c>
      <c r="B253" s="0" t="s">
        <v>3698</v>
      </c>
      <c r="C253" s="0" t="s">
        <v>3699</v>
      </c>
      <c r="D253" s="0" t="s">
        <v>3722</v>
      </c>
      <c r="E253" s="0" t="s">
        <v>3723</v>
      </c>
      <c r="F253" s="0" t="s">
        <v>3089</v>
      </c>
      <c r="G253" s="0" t="s">
        <v>3724</v>
      </c>
    </row>
    <row customHeight="1" ht="11.25">
      <c r="A254" s="429" t="s">
        <v>16</v>
      </c>
      <c r="B254" s="0" t="s">
        <v>3698</v>
      </c>
      <c r="C254" s="0" t="s">
        <v>3699</v>
      </c>
      <c r="D254" s="0" t="s">
        <v>3698</v>
      </c>
      <c r="E254" s="0" t="s">
        <v>3699</v>
      </c>
      <c r="F254" s="0" t="s">
        <v>3090</v>
      </c>
      <c r="G254" s="0" t="s">
        <v>3725</v>
      </c>
    </row>
    <row customHeight="1" ht="11.25">
      <c r="A255" s="429" t="s">
        <v>16</v>
      </c>
      <c r="B255" s="0" t="s">
        <v>3698</v>
      </c>
      <c r="C255" s="0" t="s">
        <v>3699</v>
      </c>
      <c r="D255" s="0" t="s">
        <v>3726</v>
      </c>
      <c r="E255" s="0" t="s">
        <v>3727</v>
      </c>
      <c r="F255" s="0" t="s">
        <v>3089</v>
      </c>
      <c r="G255" s="0" t="s">
        <v>3728</v>
      </c>
    </row>
    <row customHeight="1" ht="11.25">
      <c r="A256" s="429" t="s">
        <v>16</v>
      </c>
      <c r="B256" s="0" t="s">
        <v>3698</v>
      </c>
      <c r="C256" s="0" t="s">
        <v>3699</v>
      </c>
      <c r="D256" s="0" t="s">
        <v>3729</v>
      </c>
      <c r="E256" s="0" t="s">
        <v>3730</v>
      </c>
      <c r="F256" s="0" t="s">
        <v>3159</v>
      </c>
      <c r="G256" s="0" t="s">
        <v>3731</v>
      </c>
    </row>
    <row customHeight="1" ht="11.25">
      <c r="A257" s="429" t="s">
        <v>16</v>
      </c>
      <c r="B257" s="0" t="s">
        <v>3732</v>
      </c>
      <c r="C257" s="0" t="s">
        <v>3733</v>
      </c>
      <c r="D257" s="0" t="s">
        <v>3734</v>
      </c>
      <c r="E257" s="0" t="s">
        <v>3735</v>
      </c>
      <c r="F257" s="0" t="s">
        <v>3089</v>
      </c>
      <c r="G257" s="0" t="s">
        <v>3736</v>
      </c>
    </row>
    <row customHeight="1" ht="11.25">
      <c r="A258" s="429" t="s">
        <v>16</v>
      </c>
      <c r="B258" s="0" t="s">
        <v>3732</v>
      </c>
      <c r="C258" s="0" t="s">
        <v>3733</v>
      </c>
      <c r="D258" s="0" t="s">
        <v>3737</v>
      </c>
      <c r="E258" s="0" t="s">
        <v>3738</v>
      </c>
      <c r="F258" s="0" t="s">
        <v>3089</v>
      </c>
      <c r="G258" s="0" t="s">
        <v>3739</v>
      </c>
    </row>
    <row customHeight="1" ht="11.25">
      <c r="A259" s="429" t="s">
        <v>16</v>
      </c>
      <c r="B259" s="0" t="s">
        <v>3732</v>
      </c>
      <c r="C259" s="0" t="s">
        <v>3733</v>
      </c>
      <c r="D259" s="0" t="s">
        <v>3660</v>
      </c>
      <c r="E259" s="0" t="s">
        <v>3740</v>
      </c>
      <c r="F259" s="0" t="s">
        <v>3089</v>
      </c>
      <c r="G259" s="0" t="s">
        <v>3741</v>
      </c>
    </row>
    <row customHeight="1" ht="11.25">
      <c r="A260" s="429" t="s">
        <v>16</v>
      </c>
      <c r="B260" s="0" t="s">
        <v>3732</v>
      </c>
      <c r="C260" s="0" t="s">
        <v>3733</v>
      </c>
      <c r="D260" s="0" t="s">
        <v>3732</v>
      </c>
      <c r="E260" s="0" t="s">
        <v>3733</v>
      </c>
      <c r="F260" s="0" t="s">
        <v>3090</v>
      </c>
      <c r="G260" s="0" t="s">
        <v>3742</v>
      </c>
    </row>
    <row customHeight="1" ht="11.25">
      <c r="A261" s="429" t="s">
        <v>16</v>
      </c>
      <c r="B261" s="0" t="s">
        <v>3732</v>
      </c>
      <c r="C261" s="0" t="s">
        <v>3733</v>
      </c>
      <c r="D261" s="0" t="s">
        <v>3743</v>
      </c>
      <c r="E261" s="0" t="s">
        <v>3744</v>
      </c>
      <c r="F261" s="0" t="s">
        <v>3089</v>
      </c>
      <c r="G261" s="0" t="s">
        <v>3745</v>
      </c>
    </row>
    <row customHeight="1" ht="11.25">
      <c r="A262" s="429" t="s">
        <v>16</v>
      </c>
      <c r="B262" s="0" t="s">
        <v>3732</v>
      </c>
      <c r="C262" s="0" t="s">
        <v>3733</v>
      </c>
      <c r="D262" s="0" t="s">
        <v>3746</v>
      </c>
      <c r="E262" s="0" t="s">
        <v>3747</v>
      </c>
      <c r="F262" s="0" t="s">
        <v>3089</v>
      </c>
      <c r="G262" s="0" t="s">
        <v>3748</v>
      </c>
    </row>
    <row customHeight="1" ht="11.25">
      <c r="A263" s="429" t="s">
        <v>16</v>
      </c>
      <c r="B263" s="0" t="s">
        <v>3732</v>
      </c>
      <c r="C263" s="0" t="s">
        <v>3733</v>
      </c>
      <c r="D263" s="0" t="s">
        <v>178</v>
      </c>
      <c r="E263" s="0" t="s">
        <v>3749</v>
      </c>
      <c r="F263" s="0" t="s">
        <v>3089</v>
      </c>
      <c r="G263" s="0" t="s">
        <v>3750</v>
      </c>
    </row>
    <row customHeight="1" ht="11.25">
      <c r="A264" s="429" t="s">
        <v>16</v>
      </c>
      <c r="B264" s="0" t="s">
        <v>3732</v>
      </c>
      <c r="C264" s="0" t="s">
        <v>3733</v>
      </c>
      <c r="D264" s="0" t="s">
        <v>3751</v>
      </c>
      <c r="E264" s="0" t="s">
        <v>3752</v>
      </c>
      <c r="F264" s="0" t="s">
        <v>3159</v>
      </c>
      <c r="G264" s="0" t="s">
        <v>3753</v>
      </c>
    </row>
    <row customHeight="1" ht="11.25">
      <c r="A265" s="429" t="s">
        <v>16</v>
      </c>
      <c r="B265" s="0" t="s">
        <v>3754</v>
      </c>
      <c r="C265" s="0" t="s">
        <v>3755</v>
      </c>
      <c r="D265" s="0" t="s">
        <v>3756</v>
      </c>
      <c r="E265" s="0" t="s">
        <v>3757</v>
      </c>
      <c r="F265" s="0" t="s">
        <v>3089</v>
      </c>
      <c r="G265" s="0" t="s">
        <v>3758</v>
      </c>
    </row>
    <row customHeight="1" ht="11.25">
      <c r="A266" s="429" t="s">
        <v>16</v>
      </c>
      <c r="B266" s="0" t="s">
        <v>3754</v>
      </c>
      <c r="C266" s="0" t="s">
        <v>3755</v>
      </c>
      <c r="D266" s="0" t="s">
        <v>3759</v>
      </c>
      <c r="E266" s="0" t="s">
        <v>3760</v>
      </c>
      <c r="F266" s="0" t="s">
        <v>3089</v>
      </c>
      <c r="G266" s="0" t="s">
        <v>3761</v>
      </c>
    </row>
    <row customHeight="1" ht="11.25">
      <c r="A267" s="429" t="s">
        <v>16</v>
      </c>
      <c r="B267" s="0" t="s">
        <v>3754</v>
      </c>
      <c r="C267" s="0" t="s">
        <v>3755</v>
      </c>
      <c r="D267" s="0" t="s">
        <v>3762</v>
      </c>
      <c r="E267" s="0" t="s">
        <v>3763</v>
      </c>
      <c r="F267" s="0" t="s">
        <v>3089</v>
      </c>
      <c r="G267" s="0" t="s">
        <v>3764</v>
      </c>
    </row>
    <row customHeight="1" ht="11.25">
      <c r="A268" s="429" t="s">
        <v>16</v>
      </c>
      <c r="B268" s="0" t="s">
        <v>3754</v>
      </c>
      <c r="C268" s="0" t="s">
        <v>3755</v>
      </c>
      <c r="D268" s="0" t="s">
        <v>3765</v>
      </c>
      <c r="E268" s="0" t="s">
        <v>3766</v>
      </c>
      <c r="F268" s="0" t="s">
        <v>3089</v>
      </c>
      <c r="G268" s="0" t="s">
        <v>3767</v>
      </c>
    </row>
    <row customHeight="1" ht="11.25">
      <c r="A269" s="429" t="s">
        <v>16</v>
      </c>
      <c r="B269" s="0" t="s">
        <v>3754</v>
      </c>
      <c r="C269" s="0" t="s">
        <v>3755</v>
      </c>
      <c r="D269" s="0" t="s">
        <v>3768</v>
      </c>
      <c r="E269" s="0" t="s">
        <v>3769</v>
      </c>
      <c r="F269" s="0" t="s">
        <v>3089</v>
      </c>
      <c r="G269" s="0" t="s">
        <v>3770</v>
      </c>
    </row>
    <row customHeight="1" ht="11.25">
      <c r="A270" s="429" t="s">
        <v>16</v>
      </c>
      <c r="B270" s="0" t="s">
        <v>3754</v>
      </c>
      <c r="C270" s="0" t="s">
        <v>3755</v>
      </c>
      <c r="D270" s="0" t="s">
        <v>3771</v>
      </c>
      <c r="E270" s="0" t="s">
        <v>3772</v>
      </c>
      <c r="F270" s="0" t="s">
        <v>3089</v>
      </c>
      <c r="G270" s="0" t="s">
        <v>3773</v>
      </c>
    </row>
    <row customHeight="1" ht="11.25">
      <c r="A271" s="429" t="s">
        <v>16</v>
      </c>
      <c r="B271" s="0" t="s">
        <v>3754</v>
      </c>
      <c r="C271" s="0" t="s">
        <v>3755</v>
      </c>
      <c r="D271" s="0" t="s">
        <v>3774</v>
      </c>
      <c r="E271" s="0" t="s">
        <v>3775</v>
      </c>
      <c r="F271" s="0" t="s">
        <v>3089</v>
      </c>
      <c r="G271" s="0" t="s">
        <v>3776</v>
      </c>
    </row>
    <row customHeight="1" ht="11.25">
      <c r="A272" s="429" t="s">
        <v>16</v>
      </c>
      <c r="B272" s="0" t="s">
        <v>3754</v>
      </c>
      <c r="C272" s="0" t="s">
        <v>3755</v>
      </c>
      <c r="D272" s="0" t="s">
        <v>3777</v>
      </c>
      <c r="E272" s="0" t="s">
        <v>3778</v>
      </c>
      <c r="F272" s="0" t="s">
        <v>3089</v>
      </c>
      <c r="G272" s="0" t="s">
        <v>3779</v>
      </c>
    </row>
    <row customHeight="1" ht="11.25">
      <c r="A273" s="429" t="s">
        <v>16</v>
      </c>
      <c r="B273" s="0" t="s">
        <v>3754</v>
      </c>
      <c r="C273" s="0" t="s">
        <v>3755</v>
      </c>
      <c r="D273" s="0" t="s">
        <v>3780</v>
      </c>
      <c r="E273" s="0" t="s">
        <v>3781</v>
      </c>
      <c r="F273" s="0" t="s">
        <v>3089</v>
      </c>
      <c r="G273" s="0" t="s">
        <v>3782</v>
      </c>
    </row>
    <row customHeight="1" ht="11.25">
      <c r="A274" s="429" t="s">
        <v>16</v>
      </c>
      <c r="B274" s="0" t="s">
        <v>3754</v>
      </c>
      <c r="C274" s="0" t="s">
        <v>3755</v>
      </c>
      <c r="D274" s="0" t="s">
        <v>3783</v>
      </c>
      <c r="E274" s="0" t="s">
        <v>3784</v>
      </c>
      <c r="F274" s="0" t="s">
        <v>3089</v>
      </c>
      <c r="G274" s="0" t="s">
        <v>3785</v>
      </c>
    </row>
    <row customHeight="1" ht="11.25">
      <c r="A275" s="429" t="s">
        <v>16</v>
      </c>
      <c r="B275" s="0" t="s">
        <v>3754</v>
      </c>
      <c r="C275" s="0" t="s">
        <v>3755</v>
      </c>
      <c r="D275" s="0" t="s">
        <v>3786</v>
      </c>
      <c r="E275" s="0" t="s">
        <v>3787</v>
      </c>
      <c r="F275" s="0" t="s">
        <v>3089</v>
      </c>
      <c r="G275" s="0" t="s">
        <v>3788</v>
      </c>
    </row>
    <row customHeight="1" ht="11.25">
      <c r="A276" s="429" t="s">
        <v>16</v>
      </c>
      <c r="B276" s="0" t="s">
        <v>3754</v>
      </c>
      <c r="C276" s="0" t="s">
        <v>3755</v>
      </c>
      <c r="D276" s="0" t="s">
        <v>3789</v>
      </c>
      <c r="E276" s="0" t="s">
        <v>3790</v>
      </c>
      <c r="F276" s="0" t="s">
        <v>3089</v>
      </c>
      <c r="G276" s="0" t="s">
        <v>3791</v>
      </c>
    </row>
    <row customHeight="1" ht="11.25">
      <c r="A277" s="429" t="s">
        <v>16</v>
      </c>
      <c r="B277" s="0" t="s">
        <v>3754</v>
      </c>
      <c r="C277" s="0" t="s">
        <v>3755</v>
      </c>
      <c r="D277" s="0" t="s">
        <v>3792</v>
      </c>
      <c r="E277" s="0" t="s">
        <v>3793</v>
      </c>
      <c r="F277" s="0" t="s">
        <v>3089</v>
      </c>
      <c r="G277" s="0" t="s">
        <v>3794</v>
      </c>
    </row>
    <row customHeight="1" ht="11.25">
      <c r="A278" s="429" t="s">
        <v>16</v>
      </c>
      <c r="B278" s="0" t="s">
        <v>3754</v>
      </c>
      <c r="C278" s="0" t="s">
        <v>3755</v>
      </c>
      <c r="D278" s="0" t="s">
        <v>3795</v>
      </c>
      <c r="E278" s="0" t="s">
        <v>3796</v>
      </c>
      <c r="F278" s="0" t="s">
        <v>3089</v>
      </c>
      <c r="G278" s="0" t="s">
        <v>3797</v>
      </c>
    </row>
    <row customHeight="1" ht="11.25">
      <c r="A279" s="429" t="s">
        <v>16</v>
      </c>
      <c r="B279" s="0" t="s">
        <v>3754</v>
      </c>
      <c r="C279" s="0" t="s">
        <v>3755</v>
      </c>
      <c r="D279" s="0" t="s">
        <v>3798</v>
      </c>
      <c r="E279" s="0" t="s">
        <v>3799</v>
      </c>
      <c r="F279" s="0" t="s">
        <v>3089</v>
      </c>
      <c r="G279" s="0" t="s">
        <v>3800</v>
      </c>
    </row>
    <row customHeight="1" ht="11.25">
      <c r="A280" s="429" t="s">
        <v>16</v>
      </c>
      <c r="B280" s="0" t="s">
        <v>3754</v>
      </c>
      <c r="C280" s="0" t="s">
        <v>3755</v>
      </c>
      <c r="D280" s="0" t="s">
        <v>3754</v>
      </c>
      <c r="E280" s="0" t="s">
        <v>3755</v>
      </c>
      <c r="F280" s="0" t="s">
        <v>3090</v>
      </c>
      <c r="G280" s="0" t="s">
        <v>3801</v>
      </c>
    </row>
    <row customHeight="1" ht="11.25">
      <c r="A281" s="429" t="s">
        <v>16</v>
      </c>
      <c r="B281" s="0" t="s">
        <v>3754</v>
      </c>
      <c r="C281" s="0" t="s">
        <v>3755</v>
      </c>
      <c r="D281" s="0" t="s">
        <v>3802</v>
      </c>
      <c r="E281" s="0" t="s">
        <v>3803</v>
      </c>
      <c r="F281" s="0" t="s">
        <v>3089</v>
      </c>
      <c r="G281" s="0" t="s">
        <v>3804</v>
      </c>
    </row>
    <row customHeight="1" ht="11.25">
      <c r="A282" s="429" t="s">
        <v>16</v>
      </c>
      <c r="B282" s="0" t="s">
        <v>3754</v>
      </c>
      <c r="C282" s="0" t="s">
        <v>3755</v>
      </c>
      <c r="D282" s="0" t="s">
        <v>3805</v>
      </c>
      <c r="E282" s="0" t="s">
        <v>3806</v>
      </c>
      <c r="F282" s="0" t="s">
        <v>3214</v>
      </c>
      <c r="G282" s="0" t="s">
        <v>3807</v>
      </c>
    </row>
    <row customHeight="1" ht="11.25">
      <c r="A283" s="429" t="s">
        <v>16</v>
      </c>
      <c r="B283" s="0" t="s">
        <v>3808</v>
      </c>
      <c r="C283" s="0" t="s">
        <v>3809</v>
      </c>
      <c r="D283" s="0" t="s">
        <v>3810</v>
      </c>
      <c r="E283" s="0" t="s">
        <v>3811</v>
      </c>
      <c r="F283" s="0" t="s">
        <v>3089</v>
      </c>
      <c r="G283" s="0" t="s">
        <v>3812</v>
      </c>
    </row>
    <row customHeight="1" ht="11.25">
      <c r="A284" s="429" t="s">
        <v>16</v>
      </c>
      <c r="B284" s="0" t="s">
        <v>3808</v>
      </c>
      <c r="C284" s="0" t="s">
        <v>3809</v>
      </c>
      <c r="D284" s="0" t="s">
        <v>3813</v>
      </c>
      <c r="E284" s="0" t="s">
        <v>3814</v>
      </c>
      <c r="F284" s="0" t="s">
        <v>3089</v>
      </c>
      <c r="G284" s="0" t="s">
        <v>3815</v>
      </c>
    </row>
    <row customHeight="1" ht="11.25">
      <c r="A285" s="429" t="s">
        <v>16</v>
      </c>
      <c r="B285" s="0" t="s">
        <v>3808</v>
      </c>
      <c r="C285" s="0" t="s">
        <v>3809</v>
      </c>
      <c r="D285" s="0" t="s">
        <v>3816</v>
      </c>
      <c r="E285" s="0" t="s">
        <v>3817</v>
      </c>
      <c r="F285" s="0" t="s">
        <v>3089</v>
      </c>
      <c r="G285" s="0" t="s">
        <v>3818</v>
      </c>
    </row>
    <row customHeight="1" ht="11.25">
      <c r="A286" s="429" t="s">
        <v>16</v>
      </c>
      <c r="B286" s="0" t="s">
        <v>3808</v>
      </c>
      <c r="C286" s="0" t="s">
        <v>3809</v>
      </c>
      <c r="D286" s="0" t="s">
        <v>3317</v>
      </c>
      <c r="E286" s="0" t="s">
        <v>3819</v>
      </c>
      <c r="F286" s="0" t="s">
        <v>3089</v>
      </c>
      <c r="G286" s="0" t="s">
        <v>3820</v>
      </c>
    </row>
    <row customHeight="1" ht="11.25">
      <c r="A287" s="429" t="s">
        <v>16</v>
      </c>
      <c r="B287" s="0" t="s">
        <v>3808</v>
      </c>
      <c r="C287" s="0" t="s">
        <v>3809</v>
      </c>
      <c r="D287" s="0" t="s">
        <v>3821</v>
      </c>
      <c r="E287" s="0" t="s">
        <v>3822</v>
      </c>
      <c r="F287" s="0" t="s">
        <v>3089</v>
      </c>
      <c r="G287" s="0" t="s">
        <v>3823</v>
      </c>
    </row>
    <row customHeight="1" ht="11.25">
      <c r="A288" s="429" t="s">
        <v>16</v>
      </c>
      <c r="B288" s="0" t="s">
        <v>3808</v>
      </c>
      <c r="C288" s="0" t="s">
        <v>3809</v>
      </c>
      <c r="D288" s="0" t="s">
        <v>3824</v>
      </c>
      <c r="E288" s="0" t="s">
        <v>3825</v>
      </c>
      <c r="F288" s="0" t="s">
        <v>3089</v>
      </c>
      <c r="G288" s="0" t="s">
        <v>3826</v>
      </c>
    </row>
    <row customHeight="1" ht="11.25">
      <c r="A289" s="429" t="s">
        <v>16</v>
      </c>
      <c r="B289" s="0" t="s">
        <v>3808</v>
      </c>
      <c r="C289" s="0" t="s">
        <v>3809</v>
      </c>
      <c r="D289" s="0" t="s">
        <v>3808</v>
      </c>
      <c r="E289" s="0" t="s">
        <v>3809</v>
      </c>
      <c r="F289" s="0" t="s">
        <v>3090</v>
      </c>
      <c r="G289" s="0" t="s">
        <v>3827</v>
      </c>
    </row>
    <row customHeight="1" ht="11.25">
      <c r="A290" s="429" t="s">
        <v>16</v>
      </c>
      <c r="B290" s="0" t="s">
        <v>3808</v>
      </c>
      <c r="C290" s="0" t="s">
        <v>3809</v>
      </c>
      <c r="D290" s="0" t="s">
        <v>3828</v>
      </c>
      <c r="E290" s="0" t="s">
        <v>3829</v>
      </c>
      <c r="F290" s="0" t="s">
        <v>3089</v>
      </c>
      <c r="G290" s="0" t="s">
        <v>3830</v>
      </c>
    </row>
    <row customHeight="1" ht="11.25">
      <c r="A291" s="429" t="s">
        <v>16</v>
      </c>
      <c r="B291" s="0" t="s">
        <v>3808</v>
      </c>
      <c r="C291" s="0" t="s">
        <v>3809</v>
      </c>
      <c r="D291" s="0" t="s">
        <v>3326</v>
      </c>
      <c r="E291" s="0" t="s">
        <v>3831</v>
      </c>
      <c r="F291" s="0" t="s">
        <v>3089</v>
      </c>
      <c r="G291" s="0" t="s">
        <v>3832</v>
      </c>
    </row>
    <row customHeight="1" ht="11.25">
      <c r="A292" s="429" t="s">
        <v>16</v>
      </c>
      <c r="B292" s="0" t="s">
        <v>3808</v>
      </c>
      <c r="C292" s="0" t="s">
        <v>3809</v>
      </c>
      <c r="D292" s="0" t="s">
        <v>3833</v>
      </c>
      <c r="E292" s="0" t="s">
        <v>3834</v>
      </c>
      <c r="F292" s="0" t="s">
        <v>3159</v>
      </c>
      <c r="G292" s="0" t="s">
        <v>3835</v>
      </c>
    </row>
    <row customHeight="1" ht="11.25">
      <c r="A293" s="429" t="s">
        <v>16</v>
      </c>
      <c r="B293" s="0" t="s">
        <v>3836</v>
      </c>
      <c r="C293" s="0" t="s">
        <v>3837</v>
      </c>
      <c r="D293" s="0" t="s">
        <v>3838</v>
      </c>
      <c r="E293" s="0" t="s">
        <v>3839</v>
      </c>
      <c r="F293" s="0" t="s">
        <v>3089</v>
      </c>
      <c r="G293" s="0" t="s">
        <v>3840</v>
      </c>
    </row>
    <row customHeight="1" ht="11.25">
      <c r="A294" s="429" t="s">
        <v>16</v>
      </c>
      <c r="B294" s="0" t="s">
        <v>3836</v>
      </c>
      <c r="C294" s="0" t="s">
        <v>3837</v>
      </c>
      <c r="D294" s="0" t="s">
        <v>3841</v>
      </c>
      <c r="E294" s="0" t="s">
        <v>3842</v>
      </c>
      <c r="F294" s="0" t="s">
        <v>3089</v>
      </c>
      <c r="G294" s="0" t="s">
        <v>3843</v>
      </c>
    </row>
    <row customHeight="1" ht="11.25">
      <c r="A295" s="429" t="s">
        <v>16</v>
      </c>
      <c r="B295" s="0" t="s">
        <v>3836</v>
      </c>
      <c r="C295" s="0" t="s">
        <v>3837</v>
      </c>
      <c r="D295" s="0" t="s">
        <v>3844</v>
      </c>
      <c r="E295" s="0" t="s">
        <v>3845</v>
      </c>
      <c r="F295" s="0" t="s">
        <v>3089</v>
      </c>
      <c r="G295" s="0" t="s">
        <v>3846</v>
      </c>
    </row>
    <row customHeight="1" ht="11.25">
      <c r="A296" s="429" t="s">
        <v>16</v>
      </c>
      <c r="B296" s="0" t="s">
        <v>3836</v>
      </c>
      <c r="C296" s="0" t="s">
        <v>3837</v>
      </c>
      <c r="D296" s="0" t="s">
        <v>3847</v>
      </c>
      <c r="E296" s="0" t="s">
        <v>3848</v>
      </c>
      <c r="F296" s="0" t="s">
        <v>3089</v>
      </c>
      <c r="G296" s="0" t="s">
        <v>3849</v>
      </c>
    </row>
    <row customHeight="1" ht="11.25">
      <c r="A297" s="429" t="s">
        <v>16</v>
      </c>
      <c r="B297" s="0" t="s">
        <v>3836</v>
      </c>
      <c r="C297" s="0" t="s">
        <v>3837</v>
      </c>
      <c r="D297" s="0" t="s">
        <v>3850</v>
      </c>
      <c r="E297" s="0" t="s">
        <v>3851</v>
      </c>
      <c r="F297" s="0" t="s">
        <v>3089</v>
      </c>
      <c r="G297" s="0" t="s">
        <v>3852</v>
      </c>
    </row>
    <row customHeight="1" ht="11.25">
      <c r="A298" s="429" t="s">
        <v>16</v>
      </c>
      <c r="B298" s="0" t="s">
        <v>3836</v>
      </c>
      <c r="C298" s="0" t="s">
        <v>3837</v>
      </c>
      <c r="D298" s="0" t="s">
        <v>3853</v>
      </c>
      <c r="E298" s="0" t="s">
        <v>3854</v>
      </c>
      <c r="F298" s="0" t="s">
        <v>3089</v>
      </c>
      <c r="G298" s="0" t="s">
        <v>3855</v>
      </c>
    </row>
    <row customHeight="1" ht="11.25">
      <c r="A299" s="429" t="s">
        <v>16</v>
      </c>
      <c r="B299" s="0" t="s">
        <v>3836</v>
      </c>
      <c r="C299" s="0" t="s">
        <v>3837</v>
      </c>
      <c r="D299" s="0" t="s">
        <v>3856</v>
      </c>
      <c r="E299" s="0" t="s">
        <v>3857</v>
      </c>
      <c r="F299" s="0" t="s">
        <v>3089</v>
      </c>
      <c r="G299" s="0" t="s">
        <v>3858</v>
      </c>
    </row>
    <row customHeight="1" ht="11.25">
      <c r="A300" s="429" t="s">
        <v>16</v>
      </c>
      <c r="B300" s="0" t="s">
        <v>3836</v>
      </c>
      <c r="C300" s="0" t="s">
        <v>3837</v>
      </c>
      <c r="D300" s="0" t="s">
        <v>3859</v>
      </c>
      <c r="E300" s="0" t="s">
        <v>3860</v>
      </c>
      <c r="F300" s="0" t="s">
        <v>3089</v>
      </c>
      <c r="G300" s="0" t="s">
        <v>3861</v>
      </c>
    </row>
    <row customHeight="1" ht="11.25">
      <c r="A301" s="429" t="s">
        <v>16</v>
      </c>
      <c r="B301" s="0" t="s">
        <v>3836</v>
      </c>
      <c r="C301" s="0" t="s">
        <v>3837</v>
      </c>
      <c r="D301" s="0" t="s">
        <v>3862</v>
      </c>
      <c r="E301" s="0" t="s">
        <v>3863</v>
      </c>
      <c r="F301" s="0" t="s">
        <v>3089</v>
      </c>
      <c r="G301" s="0" t="s">
        <v>3864</v>
      </c>
    </row>
    <row customHeight="1" ht="11.25">
      <c r="A302" s="429" t="s">
        <v>16</v>
      </c>
      <c r="B302" s="0" t="s">
        <v>3836</v>
      </c>
      <c r="C302" s="0" t="s">
        <v>3837</v>
      </c>
      <c r="D302" s="0" t="s">
        <v>3180</v>
      </c>
      <c r="E302" s="0" t="s">
        <v>3865</v>
      </c>
      <c r="F302" s="0" t="s">
        <v>3089</v>
      </c>
      <c r="G302" s="0" t="s">
        <v>3866</v>
      </c>
    </row>
    <row customHeight="1" ht="11.25">
      <c r="A303" s="429" t="s">
        <v>16</v>
      </c>
      <c r="B303" s="0" t="s">
        <v>3836</v>
      </c>
      <c r="C303" s="0" t="s">
        <v>3837</v>
      </c>
      <c r="D303" s="0" t="s">
        <v>3836</v>
      </c>
      <c r="E303" s="0" t="s">
        <v>3837</v>
      </c>
      <c r="F303" s="0" t="s">
        <v>3090</v>
      </c>
      <c r="G303" s="0" t="s">
        <v>3867</v>
      </c>
    </row>
    <row customHeight="1" ht="11.25">
      <c r="A304" s="429" t="s">
        <v>16</v>
      </c>
      <c r="B304" s="0" t="s">
        <v>3836</v>
      </c>
      <c r="C304" s="0" t="s">
        <v>3837</v>
      </c>
      <c r="D304" s="0" t="s">
        <v>3868</v>
      </c>
      <c r="E304" s="0" t="s">
        <v>3869</v>
      </c>
      <c r="F304" s="0" t="s">
        <v>3214</v>
      </c>
      <c r="G304" s="0" t="s">
        <v>3870</v>
      </c>
    </row>
    <row customHeight="1" ht="11.25">
      <c r="A305" s="429" t="s">
        <v>16</v>
      </c>
      <c r="B305" s="0" t="s">
        <v>3871</v>
      </c>
      <c r="C305" s="0" t="s">
        <v>3872</v>
      </c>
      <c r="D305" s="0" t="s">
        <v>3873</v>
      </c>
      <c r="E305" s="0" t="s">
        <v>3874</v>
      </c>
      <c r="F305" s="0" t="s">
        <v>3089</v>
      </c>
      <c r="G305" s="0" t="s">
        <v>3875</v>
      </c>
    </row>
    <row customHeight="1" ht="11.25">
      <c r="A306" s="429" t="s">
        <v>16</v>
      </c>
      <c r="B306" s="0" t="s">
        <v>3871</v>
      </c>
      <c r="C306" s="0" t="s">
        <v>3872</v>
      </c>
      <c r="D306" s="0" t="s">
        <v>3876</v>
      </c>
      <c r="E306" s="0" t="s">
        <v>3877</v>
      </c>
      <c r="F306" s="0" t="s">
        <v>3089</v>
      </c>
      <c r="G306" s="0" t="s">
        <v>3878</v>
      </c>
    </row>
    <row customHeight="1" ht="11.25">
      <c r="A307" s="429" t="s">
        <v>16</v>
      </c>
      <c r="B307" s="0" t="s">
        <v>3871</v>
      </c>
      <c r="C307" s="0" t="s">
        <v>3872</v>
      </c>
      <c r="D307" s="0" t="s">
        <v>3879</v>
      </c>
      <c r="E307" s="0" t="s">
        <v>3880</v>
      </c>
      <c r="F307" s="0" t="s">
        <v>3089</v>
      </c>
      <c r="G307" s="0" t="s">
        <v>3881</v>
      </c>
    </row>
    <row customHeight="1" ht="11.25">
      <c r="A308" s="429" t="s">
        <v>16</v>
      </c>
      <c r="B308" s="0" t="s">
        <v>3871</v>
      </c>
      <c r="C308" s="0" t="s">
        <v>3872</v>
      </c>
      <c r="D308" s="0" t="s">
        <v>3882</v>
      </c>
      <c r="E308" s="0" t="s">
        <v>3883</v>
      </c>
      <c r="F308" s="0" t="s">
        <v>3089</v>
      </c>
      <c r="G308" s="0" t="s">
        <v>3884</v>
      </c>
    </row>
    <row customHeight="1" ht="11.25">
      <c r="A309" s="429" t="s">
        <v>16</v>
      </c>
      <c r="B309" s="0" t="s">
        <v>3871</v>
      </c>
      <c r="C309" s="0" t="s">
        <v>3872</v>
      </c>
      <c r="D309" s="0" t="s">
        <v>3885</v>
      </c>
      <c r="E309" s="0" t="s">
        <v>3886</v>
      </c>
      <c r="F309" s="0" t="s">
        <v>3089</v>
      </c>
      <c r="G309" s="0" t="s">
        <v>3887</v>
      </c>
    </row>
    <row customHeight="1" ht="11.25">
      <c r="A310" s="429" t="s">
        <v>16</v>
      </c>
      <c r="B310" s="0" t="s">
        <v>3871</v>
      </c>
      <c r="C310" s="0" t="s">
        <v>3872</v>
      </c>
      <c r="D310" s="0" t="s">
        <v>3888</v>
      </c>
      <c r="E310" s="0" t="s">
        <v>3889</v>
      </c>
      <c r="F310" s="0" t="s">
        <v>3089</v>
      </c>
      <c r="G310" s="0" t="s">
        <v>3890</v>
      </c>
    </row>
    <row customHeight="1" ht="11.25">
      <c r="A311" s="429" t="s">
        <v>16</v>
      </c>
      <c r="B311" s="0" t="s">
        <v>3871</v>
      </c>
      <c r="C311" s="0" t="s">
        <v>3872</v>
      </c>
      <c r="D311" s="0" t="s">
        <v>3891</v>
      </c>
      <c r="E311" s="0" t="s">
        <v>3892</v>
      </c>
      <c r="F311" s="0" t="s">
        <v>3089</v>
      </c>
      <c r="G311" s="0" t="s">
        <v>3893</v>
      </c>
    </row>
    <row customHeight="1" ht="11.25">
      <c r="A312" s="429" t="s">
        <v>16</v>
      </c>
      <c r="B312" s="0" t="s">
        <v>3871</v>
      </c>
      <c r="C312" s="0" t="s">
        <v>3872</v>
      </c>
      <c r="D312" s="0" t="s">
        <v>3894</v>
      </c>
      <c r="E312" s="0" t="s">
        <v>3895</v>
      </c>
      <c r="F312" s="0" t="s">
        <v>3089</v>
      </c>
      <c r="G312" s="0" t="s">
        <v>3896</v>
      </c>
    </row>
    <row customHeight="1" ht="11.25">
      <c r="A313" s="429" t="s">
        <v>16</v>
      </c>
      <c r="B313" s="0" t="s">
        <v>3871</v>
      </c>
      <c r="C313" s="0" t="s">
        <v>3872</v>
      </c>
      <c r="D313" s="0" t="s">
        <v>3871</v>
      </c>
      <c r="E313" s="0" t="s">
        <v>3872</v>
      </c>
      <c r="F313" s="0" t="s">
        <v>3090</v>
      </c>
      <c r="G313" s="0" t="s">
        <v>3897</v>
      </c>
    </row>
    <row customHeight="1" ht="11.25">
      <c r="A314" s="429" t="s">
        <v>16</v>
      </c>
      <c r="B314" s="0" t="s">
        <v>3871</v>
      </c>
      <c r="C314" s="0" t="s">
        <v>3872</v>
      </c>
      <c r="D314" s="0" t="s">
        <v>3898</v>
      </c>
      <c r="E314" s="0" t="s">
        <v>3899</v>
      </c>
      <c r="F314" s="0" t="s">
        <v>3159</v>
      </c>
      <c r="G314" s="0" t="s">
        <v>3900</v>
      </c>
    </row>
    <row customHeight="1" ht="11.25">
      <c r="A315" s="429" t="s">
        <v>16</v>
      </c>
      <c r="B315" s="0" t="s">
        <v>3901</v>
      </c>
      <c r="C315" s="0" t="s">
        <v>3902</v>
      </c>
      <c r="D315" s="0" t="s">
        <v>3903</v>
      </c>
      <c r="E315" s="0" t="s">
        <v>3904</v>
      </c>
      <c r="F315" s="0" t="s">
        <v>3089</v>
      </c>
      <c r="G315" s="0" t="s">
        <v>3905</v>
      </c>
    </row>
    <row customHeight="1" ht="11.25">
      <c r="A316" s="429" t="s">
        <v>16</v>
      </c>
      <c r="B316" s="0" t="s">
        <v>3901</v>
      </c>
      <c r="C316" s="0" t="s">
        <v>3902</v>
      </c>
      <c r="D316" s="0" t="s">
        <v>3235</v>
      </c>
      <c r="E316" s="0" t="s">
        <v>3906</v>
      </c>
      <c r="F316" s="0" t="s">
        <v>3089</v>
      </c>
      <c r="G316" s="0" t="s">
        <v>3907</v>
      </c>
    </row>
    <row customHeight="1" ht="11.25">
      <c r="A317" s="429" t="s">
        <v>16</v>
      </c>
      <c r="B317" s="0" t="s">
        <v>3901</v>
      </c>
      <c r="C317" s="0" t="s">
        <v>3902</v>
      </c>
      <c r="D317" s="0" t="s">
        <v>3908</v>
      </c>
      <c r="E317" s="0" t="s">
        <v>3909</v>
      </c>
      <c r="F317" s="0" t="s">
        <v>3089</v>
      </c>
      <c r="G317" s="0" t="s">
        <v>3910</v>
      </c>
    </row>
    <row customHeight="1" ht="11.25">
      <c r="A318" s="429" t="s">
        <v>16</v>
      </c>
      <c r="B318" s="0" t="s">
        <v>3901</v>
      </c>
      <c r="C318" s="0" t="s">
        <v>3902</v>
      </c>
      <c r="D318" s="0" t="s">
        <v>3885</v>
      </c>
      <c r="E318" s="0" t="s">
        <v>3911</v>
      </c>
      <c r="F318" s="0" t="s">
        <v>3089</v>
      </c>
      <c r="G318" s="0" t="s">
        <v>3912</v>
      </c>
    </row>
    <row customHeight="1" ht="11.25">
      <c r="A319" s="429" t="s">
        <v>16</v>
      </c>
      <c r="B319" s="0" t="s">
        <v>3901</v>
      </c>
      <c r="C319" s="0" t="s">
        <v>3902</v>
      </c>
      <c r="D319" s="0" t="s">
        <v>3913</v>
      </c>
      <c r="E319" s="0" t="s">
        <v>3914</v>
      </c>
      <c r="F319" s="0" t="s">
        <v>3089</v>
      </c>
      <c r="G319" s="0" t="s">
        <v>3915</v>
      </c>
    </row>
    <row customHeight="1" ht="11.25">
      <c r="A320" s="429" t="s">
        <v>16</v>
      </c>
      <c r="B320" s="0" t="s">
        <v>3901</v>
      </c>
      <c r="C320" s="0" t="s">
        <v>3902</v>
      </c>
      <c r="D320" s="0" t="s">
        <v>3862</v>
      </c>
      <c r="E320" s="0" t="s">
        <v>3916</v>
      </c>
      <c r="F320" s="0" t="s">
        <v>3089</v>
      </c>
      <c r="G320" s="0" t="s">
        <v>3917</v>
      </c>
    </row>
    <row customHeight="1" ht="11.25">
      <c r="A321" s="429" t="s">
        <v>16</v>
      </c>
      <c r="B321" s="0" t="s">
        <v>3901</v>
      </c>
      <c r="C321" s="0" t="s">
        <v>3902</v>
      </c>
      <c r="D321" s="0" t="s">
        <v>3918</v>
      </c>
      <c r="E321" s="0" t="s">
        <v>3919</v>
      </c>
      <c r="F321" s="0" t="s">
        <v>3089</v>
      </c>
      <c r="G321" s="0" t="s">
        <v>3920</v>
      </c>
    </row>
    <row customHeight="1" ht="11.25">
      <c r="A322" s="429" t="s">
        <v>16</v>
      </c>
      <c r="B322" s="0" t="s">
        <v>3901</v>
      </c>
      <c r="C322" s="0" t="s">
        <v>3902</v>
      </c>
      <c r="D322" s="0" t="s">
        <v>3921</v>
      </c>
      <c r="E322" s="0" t="s">
        <v>3922</v>
      </c>
      <c r="F322" s="0" t="s">
        <v>3089</v>
      </c>
      <c r="G322" s="0" t="s">
        <v>3923</v>
      </c>
    </row>
    <row customHeight="1" ht="11.25">
      <c r="A323" s="429" t="s">
        <v>16</v>
      </c>
      <c r="B323" s="0" t="s">
        <v>3901</v>
      </c>
      <c r="C323" s="0" t="s">
        <v>3902</v>
      </c>
      <c r="D323" s="0" t="s">
        <v>3901</v>
      </c>
      <c r="E323" s="0" t="s">
        <v>3902</v>
      </c>
      <c r="F323" s="0" t="s">
        <v>3090</v>
      </c>
      <c r="G323" s="0" t="s">
        <v>3924</v>
      </c>
    </row>
    <row customHeight="1" ht="11.25">
      <c r="A324" s="429" t="s">
        <v>16</v>
      </c>
      <c r="B324" s="0" t="s">
        <v>3901</v>
      </c>
      <c r="C324" s="0" t="s">
        <v>3902</v>
      </c>
      <c r="D324" s="0" t="s">
        <v>3925</v>
      </c>
      <c r="E324" s="0" t="s">
        <v>3926</v>
      </c>
      <c r="F324" s="0" t="s">
        <v>3159</v>
      </c>
      <c r="G324" s="0" t="s">
        <v>3927</v>
      </c>
    </row>
    <row customHeight="1" ht="11.25">
      <c r="A325" s="429" t="s">
        <v>16</v>
      </c>
      <c r="B325" s="0" t="s">
        <v>3928</v>
      </c>
      <c r="C325" s="0" t="s">
        <v>3929</v>
      </c>
      <c r="D325" s="0" t="s">
        <v>3930</v>
      </c>
      <c r="E325" s="0" t="s">
        <v>3931</v>
      </c>
      <c r="F325" s="0" t="s">
        <v>3089</v>
      </c>
      <c r="G325" s="0" t="s">
        <v>3932</v>
      </c>
    </row>
    <row customHeight="1" ht="11.25">
      <c r="A326" s="429" t="s">
        <v>16</v>
      </c>
      <c r="B326" s="0" t="s">
        <v>3928</v>
      </c>
      <c r="C326" s="0" t="s">
        <v>3929</v>
      </c>
      <c r="D326" s="0" t="s">
        <v>3095</v>
      </c>
      <c r="E326" s="0" t="s">
        <v>3933</v>
      </c>
      <c r="F326" s="0" t="s">
        <v>3089</v>
      </c>
      <c r="G326" s="0" t="s">
        <v>3934</v>
      </c>
    </row>
    <row customHeight="1" ht="11.25">
      <c r="A327" s="429" t="s">
        <v>16</v>
      </c>
      <c r="B327" s="0" t="s">
        <v>3928</v>
      </c>
      <c r="C327" s="0" t="s">
        <v>3929</v>
      </c>
      <c r="D327" s="0" t="s">
        <v>3935</v>
      </c>
      <c r="E327" s="0" t="s">
        <v>3936</v>
      </c>
      <c r="F327" s="0" t="s">
        <v>3089</v>
      </c>
      <c r="G327" s="0" t="s">
        <v>3937</v>
      </c>
    </row>
    <row customHeight="1" ht="11.25">
      <c r="A328" s="429" t="s">
        <v>16</v>
      </c>
      <c r="B328" s="0" t="s">
        <v>3928</v>
      </c>
      <c r="C328" s="0" t="s">
        <v>3929</v>
      </c>
      <c r="D328" s="0" t="s">
        <v>3938</v>
      </c>
      <c r="E328" s="0" t="s">
        <v>3939</v>
      </c>
      <c r="F328" s="0" t="s">
        <v>3089</v>
      </c>
      <c r="G328" s="0" t="s">
        <v>3940</v>
      </c>
    </row>
    <row customHeight="1" ht="11.25">
      <c r="A329" s="429" t="s">
        <v>16</v>
      </c>
      <c r="B329" s="0" t="s">
        <v>3928</v>
      </c>
      <c r="C329" s="0" t="s">
        <v>3929</v>
      </c>
      <c r="D329" s="0" t="s">
        <v>3941</v>
      </c>
      <c r="E329" s="0" t="s">
        <v>3942</v>
      </c>
      <c r="F329" s="0" t="s">
        <v>3089</v>
      </c>
      <c r="G329" s="0" t="s">
        <v>3943</v>
      </c>
    </row>
    <row customHeight="1" ht="11.25">
      <c r="A330" s="429" t="s">
        <v>16</v>
      </c>
      <c r="B330" s="0" t="s">
        <v>3928</v>
      </c>
      <c r="C330" s="0" t="s">
        <v>3929</v>
      </c>
      <c r="D330" s="0" t="s">
        <v>3168</v>
      </c>
      <c r="E330" s="0" t="s">
        <v>3944</v>
      </c>
      <c r="F330" s="0" t="s">
        <v>3089</v>
      </c>
      <c r="G330" s="0" t="s">
        <v>3945</v>
      </c>
    </row>
    <row customHeight="1" ht="11.25">
      <c r="A331" s="429" t="s">
        <v>16</v>
      </c>
      <c r="B331" s="0" t="s">
        <v>3928</v>
      </c>
      <c r="C331" s="0" t="s">
        <v>3929</v>
      </c>
      <c r="D331" s="0" t="s">
        <v>3946</v>
      </c>
      <c r="E331" s="0" t="s">
        <v>3947</v>
      </c>
      <c r="F331" s="0" t="s">
        <v>3089</v>
      </c>
      <c r="G331" s="0" t="s">
        <v>3948</v>
      </c>
    </row>
    <row customHeight="1" ht="11.25">
      <c r="A332" s="429" t="s">
        <v>16</v>
      </c>
      <c r="B332" s="0" t="s">
        <v>3928</v>
      </c>
      <c r="C332" s="0" t="s">
        <v>3929</v>
      </c>
      <c r="D332" s="0" t="s">
        <v>3949</v>
      </c>
      <c r="E332" s="0" t="s">
        <v>3950</v>
      </c>
      <c r="F332" s="0" t="s">
        <v>3089</v>
      </c>
      <c r="G332" s="0" t="s">
        <v>3951</v>
      </c>
    </row>
    <row customHeight="1" ht="11.25">
      <c r="A333" s="429" t="s">
        <v>16</v>
      </c>
      <c r="B333" s="0" t="s">
        <v>3928</v>
      </c>
      <c r="C333" s="0" t="s">
        <v>3929</v>
      </c>
      <c r="D333" s="0" t="s">
        <v>3952</v>
      </c>
      <c r="E333" s="0" t="s">
        <v>3953</v>
      </c>
      <c r="F333" s="0" t="s">
        <v>3089</v>
      </c>
      <c r="G333" s="0" t="s">
        <v>3954</v>
      </c>
    </row>
    <row customHeight="1" ht="11.25">
      <c r="A334" s="429" t="s">
        <v>16</v>
      </c>
      <c r="B334" s="0" t="s">
        <v>3928</v>
      </c>
      <c r="C334" s="0" t="s">
        <v>3929</v>
      </c>
      <c r="D334" s="0" t="s">
        <v>3955</v>
      </c>
      <c r="E334" s="0" t="s">
        <v>3956</v>
      </c>
      <c r="F334" s="0" t="s">
        <v>3089</v>
      </c>
      <c r="G334" s="0" t="s">
        <v>3957</v>
      </c>
    </row>
    <row customHeight="1" ht="11.25">
      <c r="A335" s="429" t="s">
        <v>16</v>
      </c>
      <c r="B335" s="0" t="s">
        <v>3928</v>
      </c>
      <c r="C335" s="0" t="s">
        <v>3929</v>
      </c>
      <c r="D335" s="0" t="s">
        <v>3958</v>
      </c>
      <c r="E335" s="0" t="s">
        <v>3959</v>
      </c>
      <c r="F335" s="0" t="s">
        <v>3089</v>
      </c>
      <c r="G335" s="0" t="s">
        <v>3960</v>
      </c>
    </row>
    <row customHeight="1" ht="11.25">
      <c r="A336" s="429" t="s">
        <v>16</v>
      </c>
      <c r="B336" s="0" t="s">
        <v>3928</v>
      </c>
      <c r="C336" s="0" t="s">
        <v>3929</v>
      </c>
      <c r="D336" s="0" t="s">
        <v>3176</v>
      </c>
      <c r="E336" s="0" t="s">
        <v>3961</v>
      </c>
      <c r="F336" s="0" t="s">
        <v>3089</v>
      </c>
      <c r="G336" s="0" t="s">
        <v>3962</v>
      </c>
    </row>
    <row customHeight="1" ht="11.25">
      <c r="A337" s="429" t="s">
        <v>16</v>
      </c>
      <c r="B337" s="0" t="s">
        <v>3928</v>
      </c>
      <c r="C337" s="0" t="s">
        <v>3929</v>
      </c>
      <c r="D337" s="0" t="s">
        <v>3963</v>
      </c>
      <c r="E337" s="0" t="s">
        <v>3964</v>
      </c>
      <c r="F337" s="0" t="s">
        <v>3089</v>
      </c>
      <c r="G337" s="0" t="s">
        <v>3965</v>
      </c>
    </row>
    <row customHeight="1" ht="11.25">
      <c r="A338" s="429" t="s">
        <v>16</v>
      </c>
      <c r="B338" s="0" t="s">
        <v>3928</v>
      </c>
      <c r="C338" s="0" t="s">
        <v>3929</v>
      </c>
      <c r="D338" s="0" t="s">
        <v>3966</v>
      </c>
      <c r="E338" s="0" t="s">
        <v>3967</v>
      </c>
      <c r="F338" s="0" t="s">
        <v>3089</v>
      </c>
      <c r="G338" s="0" t="s">
        <v>3968</v>
      </c>
    </row>
    <row customHeight="1" ht="11.25">
      <c r="A339" s="429" t="s">
        <v>16</v>
      </c>
      <c r="B339" s="0" t="s">
        <v>3928</v>
      </c>
      <c r="C339" s="0" t="s">
        <v>3929</v>
      </c>
      <c r="D339" s="0" t="s">
        <v>3686</v>
      </c>
      <c r="E339" s="0" t="s">
        <v>3969</v>
      </c>
      <c r="F339" s="0" t="s">
        <v>3089</v>
      </c>
      <c r="G339" s="0" t="s">
        <v>3970</v>
      </c>
    </row>
    <row customHeight="1" ht="11.25">
      <c r="A340" s="429" t="s">
        <v>16</v>
      </c>
      <c r="B340" s="0" t="s">
        <v>3928</v>
      </c>
      <c r="C340" s="0" t="s">
        <v>3929</v>
      </c>
      <c r="D340" s="0" t="s">
        <v>3971</v>
      </c>
      <c r="E340" s="0" t="s">
        <v>3972</v>
      </c>
      <c r="F340" s="0" t="s">
        <v>3089</v>
      </c>
      <c r="G340" s="0" t="s">
        <v>3973</v>
      </c>
    </row>
    <row customHeight="1" ht="11.25">
      <c r="A341" s="429" t="s">
        <v>16</v>
      </c>
      <c r="B341" s="0" t="s">
        <v>3928</v>
      </c>
      <c r="C341" s="0" t="s">
        <v>3929</v>
      </c>
      <c r="D341" s="0" t="s">
        <v>3974</v>
      </c>
      <c r="E341" s="0" t="s">
        <v>3975</v>
      </c>
      <c r="F341" s="0" t="s">
        <v>3089</v>
      </c>
      <c r="G341" s="0" t="s">
        <v>3976</v>
      </c>
    </row>
    <row customHeight="1" ht="11.25">
      <c r="A342" s="429" t="s">
        <v>16</v>
      </c>
      <c r="B342" s="0" t="s">
        <v>3928</v>
      </c>
      <c r="C342" s="0" t="s">
        <v>3929</v>
      </c>
      <c r="D342" s="0" t="s">
        <v>3977</v>
      </c>
      <c r="E342" s="0" t="s">
        <v>3978</v>
      </c>
      <c r="F342" s="0" t="s">
        <v>3089</v>
      </c>
      <c r="G342" s="0" t="s">
        <v>3979</v>
      </c>
    </row>
    <row customHeight="1" ht="11.25">
      <c r="A343" s="429" t="s">
        <v>16</v>
      </c>
      <c r="B343" s="0" t="s">
        <v>3928</v>
      </c>
      <c r="C343" s="0" t="s">
        <v>3929</v>
      </c>
      <c r="D343" s="0" t="s">
        <v>3928</v>
      </c>
      <c r="E343" s="0" t="s">
        <v>3929</v>
      </c>
      <c r="F343" s="0" t="s">
        <v>3090</v>
      </c>
      <c r="G343" s="0" t="s">
        <v>3980</v>
      </c>
    </row>
    <row customHeight="1" ht="11.25">
      <c r="A344" s="429" t="s">
        <v>16</v>
      </c>
      <c r="B344" s="0" t="s">
        <v>3981</v>
      </c>
      <c r="C344" s="0" t="s">
        <v>3982</v>
      </c>
      <c r="D344" s="0" t="s">
        <v>3981</v>
      </c>
      <c r="E344" s="0" t="s">
        <v>3982</v>
      </c>
      <c r="F344" s="0" t="s">
        <v>3983</v>
      </c>
      <c r="G344" s="0" t="s">
        <v>3984</v>
      </c>
    </row>
    <row customHeight="1" ht="11.25">
      <c r="A345" s="429" t="s">
        <v>16</v>
      </c>
      <c r="B345" s="0" t="s">
        <v>3985</v>
      </c>
      <c r="C345" s="0" t="s">
        <v>3986</v>
      </c>
      <c r="D345" s="0" t="s">
        <v>3985</v>
      </c>
      <c r="E345" s="0" t="s">
        <v>3986</v>
      </c>
      <c r="F345" s="0" t="s">
        <v>3983</v>
      </c>
      <c r="G345" s="0" t="s">
        <v>3987</v>
      </c>
    </row>
    <row customHeight="1" ht="11.25">
      <c r="A346" s="429" t="s">
        <v>16</v>
      </c>
      <c r="B346" s="0" t="s">
        <v>3988</v>
      </c>
      <c r="C346" s="0" t="s">
        <v>3989</v>
      </c>
      <c r="D346" s="0" t="s">
        <v>3988</v>
      </c>
      <c r="E346" s="0" t="s">
        <v>3989</v>
      </c>
      <c r="F346" s="0" t="s">
        <v>3983</v>
      </c>
      <c r="G346" s="0" t="s">
        <v>3990</v>
      </c>
    </row>
    <row customHeight="1" ht="11.25">
      <c r="A347" s="429" t="s">
        <v>16</v>
      </c>
      <c r="B347" s="0" t="s">
        <v>3991</v>
      </c>
      <c r="C347" s="0" t="s">
        <v>3992</v>
      </c>
      <c r="D347" s="0" t="s">
        <v>3991</v>
      </c>
      <c r="E347" s="0" t="s">
        <v>3992</v>
      </c>
      <c r="F347" s="0" t="s">
        <v>3983</v>
      </c>
      <c r="G347" s="0" t="s">
        <v>3993</v>
      </c>
    </row>
    <row customHeight="1" ht="11.25">
      <c r="A348" s="429" t="s">
        <v>16</v>
      </c>
      <c r="B348" s="0" t="s">
        <v>3994</v>
      </c>
      <c r="C348" s="0" t="s">
        <v>3995</v>
      </c>
      <c r="D348" s="0" t="s">
        <v>3994</v>
      </c>
      <c r="E348" s="0" t="s">
        <v>3995</v>
      </c>
      <c r="F348" s="0" t="s">
        <v>3983</v>
      </c>
      <c r="G348" s="0" t="s">
        <v>3996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0B1CB9-5392-0991-1159-88DA87A2C2D8}" mc:Ignorable="x14ac xr xr2 xr3">
  <sheetPr>
    <tabColor rgb="FFFFCC99"/>
  </sheetPr>
  <dimension ref="A1:I4"/>
  <sheetViews>
    <sheetView topLeftCell="A1" showGridLines="0" workbookViewId="0">
      <selection activeCell="A1" sqref="A1"/>
    </sheetView>
  </sheetViews>
  <sheetFormatPr defaultColWidth="9.140625" customHeight="1" defaultRowHeight="11.25"/>
  <cols>
    <col min="1" max="1" style="13053" width="13.8515625" customWidth="1"/>
    <col min="2" max="2" style="13053" width="10.421875" customWidth="1"/>
    <col min="3" max="3" style="13053" width="7.57421875" customWidth="1"/>
    <col min="4" max="4" style="13053" width="13.8515625" customWidth="1"/>
    <col min="5" max="5" style="13053" width="11.57421875" customWidth="1"/>
    <col min="6" max="6" style="13053" width="16.28125" customWidth="1"/>
    <col min="7" max="7" style="13053" width="16.00390625" customWidth="1"/>
    <col min="8" max="9" style="13053" width="16.140625" customWidth="1"/>
  </cols>
  <sheetData>
    <row customHeight="1" ht="11.25">
      <c r="A1" s="891" t="s">
        <v>3997</v>
      </c>
      <c r="B1" s="891" t="s">
        <v>3998</v>
      </c>
      <c r="C1" s="1215" t="s">
        <v>3999</v>
      </c>
      <c r="D1" s="891" t="s">
        <v>4000</v>
      </c>
      <c r="E1" s="891" t="s">
        <v>4001</v>
      </c>
      <c r="F1" s="1215" t="s">
        <v>4002</v>
      </c>
      <c r="G1" s="1215" t="s">
        <v>4003</v>
      </c>
      <c r="H1" s="1215" t="s">
        <v>4004</v>
      </c>
      <c r="I1" s="1215" t="s">
        <v>4005</v>
      </c>
    </row>
    <row customHeight="1" ht="11.25">
      <c r="A2" s="13650" t="s">
        <v>191</v>
      </c>
      <c r="B2" s="13650" t="s">
        <v>4006</v>
      </c>
      <c r="C2" s="13650" t="s">
        <v>28</v>
      </c>
      <c r="D2" s="13650" t="s">
        <v>4007</v>
      </c>
      <c r="E2" s="13650" t="s">
        <v>4008</v>
      </c>
      <c r="F2" s="13650" t="s">
        <v>28</v>
      </c>
      <c r="G2" s="13650" t="s">
        <v>28</v>
      </c>
      <c r="H2" s="13650" t="s">
        <v>28</v>
      </c>
      <c r="I2" s="13650" t="s">
        <v>28</v>
      </c>
    </row>
    <row customHeight="1" ht="11.25">
      <c r="A3" s="13650" t="s">
        <v>108</v>
      </c>
      <c r="B3" s="13650" t="s">
        <v>4009</v>
      </c>
      <c r="C3" s="13650" t="s">
        <v>28</v>
      </c>
      <c r="D3" s="13650" t="s">
        <v>4010</v>
      </c>
      <c r="E3" s="13650" t="s">
        <v>4011</v>
      </c>
      <c r="F3" s="13650" t="s">
        <v>28</v>
      </c>
      <c r="G3" s="13650" t="s">
        <v>28</v>
      </c>
      <c r="H3" s="13650" t="s">
        <v>28</v>
      </c>
      <c r="I3" s="13650" t="s">
        <v>28</v>
      </c>
    </row>
    <row customHeight="1" ht="11.25">
      <c r="A4" s="13650" t="s">
        <v>94</v>
      </c>
      <c r="B4" s="13650" t="s">
        <v>4012</v>
      </c>
      <c r="C4" s="13650" t="s">
        <v>28</v>
      </c>
      <c r="D4" s="13650" t="s">
        <v>4013</v>
      </c>
      <c r="E4" s="13650" t="s">
        <v>4014</v>
      </c>
      <c r="F4" s="13650" t="s">
        <v>28</v>
      </c>
      <c r="G4" s="13650" t="s">
        <v>28</v>
      </c>
      <c r="H4" s="13650" t="s">
        <v>28</v>
      </c>
      <c r="I4" s="13650" t="s">
        <v>28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C6AF6E-AC08-152B-7493-A6BFB54FF287}"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E7ED1D-C54D-EF3B-2A77-96930623B3EB}" mc:Ignorable="x14ac xr xr2 xr3">
  <sheetPr>
    <tabColor theme="3" tint="0.6"/>
  </sheetPr>
  <dimension ref="A1:AT18"/>
  <sheetViews>
    <sheetView topLeftCell="A1" showGridLines="0" zoomScale="90" workbookViewId="0">
      <selection activeCell="A1" sqref="A1"/>
    </sheetView>
  </sheetViews>
  <sheetFormatPr defaultColWidth="10.57421875" customHeight="1" defaultRowHeight="14.25"/>
  <cols>
    <col min="1" max="1" style="2738" width="9.140625" hidden="1" customWidth="1"/>
    <col min="2" max="2" style="2774" width="9.140625" hidden="1" customWidth="1"/>
    <col min="3" max="3" style="2949" width="3.00390625" customWidth="1"/>
    <col min="4" max="4" style="2774" width="5.00390625" customWidth="1"/>
    <col min="5" max="5" style="2774" width="48.00390625" customWidth="1"/>
    <col min="6" max="6" style="2774" width="38.00390625" customWidth="1"/>
    <col min="7" max="7" style="2774" width="1.7109375" hidden="1" customWidth="1"/>
    <col min="8" max="11" style="2774" width="19.8515625" hidden="1" customWidth="1"/>
    <col min="12" max="12" style="2774" width="9.7109375" hidden="1" customWidth="1"/>
    <col min="13" max="18" style="2774" width="19.8515625" hidden="1" customWidth="1"/>
    <col min="19" max="19" style="2774" width="1.7109375" hidden="1" customWidth="1"/>
    <col min="20" max="22" style="2774" width="19.8515625" hidden="1" customWidth="1"/>
    <col min="23" max="23" style="2774" width="1.7109375" hidden="1" customWidth="1"/>
    <col min="24" max="26" style="2774" width="19.8515625" customWidth="1"/>
    <col min="27" max="27" style="2774" width="1.7109375" hidden="1" customWidth="1"/>
    <col min="28" max="29" style="2774" width="19.8515625" hidden="1" customWidth="1"/>
    <col min="30" max="30" style="2774" width="1.7109375" hidden="1" customWidth="1"/>
    <col min="31" max="32" style="2774" width="103.7109375" hidden="1" customWidth="1"/>
    <col min="33" max="33" style="2774" width="103.7109375" customWidth="1"/>
    <col min="34" max="34" style="2774" width="103.7109375" hidden="1" customWidth="1"/>
    <col min="35" max="35" style="2866" width="3.00390625" customWidth="1"/>
    <col min="36" max="38" style="2851" width="10.00390625" customWidth="1"/>
    <col min="39" max="39" style="2851" width="13.7109375" hidden="1" customWidth="1"/>
    <col min="40" max="40" style="2851" width="15.00390625" customWidth="1"/>
    <col min="41" max="41" style="2851" width="16.00390625" customWidth="1"/>
    <col min="42" max="45" style="2851" width="10.00390625" customWidth="1"/>
    <col min="46" max="46" style="2774" width="10.57421875" hidden="1"/>
  </cols>
  <sheetData>
    <row customHeight="1" ht="22.5" hidden="1">
      <c r="E1" s="468"/>
      <c r="F1" s="468"/>
      <c r="G1" s="468"/>
      <c r="H1" s="2273" t="s">
        <v>484</v>
      </c>
      <c r="I1" s="2273"/>
      <c r="J1" s="2273"/>
      <c r="K1" s="2273"/>
      <c r="L1" s="2273"/>
      <c r="M1" s="2273"/>
      <c r="N1" s="2273"/>
      <c r="O1" s="2273"/>
      <c r="P1" s="2273"/>
      <c r="Q1" s="2273"/>
      <c r="R1" s="2273"/>
      <c r="T1" s="2273" t="s">
        <v>485</v>
      </c>
      <c r="U1" s="2273"/>
      <c r="V1" s="2273"/>
      <c r="X1" s="2273" t="s">
        <v>486</v>
      </c>
      <c r="Y1" s="2273"/>
      <c r="Z1" s="2273"/>
      <c r="AB1" s="2273" t="s">
        <v>487</v>
      </c>
      <c r="AC1" s="2273"/>
      <c r="AT1" s="503" t="s">
        <v>14</v>
      </c>
    </row>
    <row customHeight="1" ht="14.25" hidden="1">
      <c r="AT2" s="503">
        <v>0</v>
      </c>
    </row>
    <row s="3401" customFormat="1" customHeight="1" ht="5.25">
      <c r="C3" s="757"/>
      <c r="D3" s="758"/>
      <c r="E3" s="758"/>
      <c r="F3" s="758"/>
      <c r="G3" s="758"/>
      <c r="H3" s="758" t="s">
        <v>488</v>
      </c>
      <c r="I3" s="758"/>
      <c r="J3" s="758"/>
      <c r="K3" s="758"/>
      <c r="L3" s="758"/>
      <c r="M3" s="758"/>
      <c r="N3" s="758"/>
      <c r="O3" s="758"/>
      <c r="P3" s="758"/>
      <c r="Q3" s="758"/>
      <c r="R3" s="758"/>
      <c r="S3" s="758"/>
      <c r="T3" s="758"/>
      <c r="U3" s="758"/>
      <c r="V3" s="758"/>
      <c r="W3" s="758"/>
      <c r="X3" s="758"/>
      <c r="Y3" s="758"/>
      <c r="Z3" s="758"/>
      <c r="AA3" s="758"/>
      <c r="AB3" s="758"/>
      <c r="AC3" s="758"/>
      <c r="AD3" s="758"/>
      <c r="AE3" s="758"/>
      <c r="AF3" s="758"/>
      <c r="AG3" s="758"/>
      <c r="AH3" s="758"/>
      <c r="AJ3" s="567"/>
      <c r="AK3" s="567"/>
      <c r="AL3" s="567"/>
      <c r="AM3" s="567"/>
      <c r="AN3" s="567"/>
      <c r="AO3" s="567"/>
      <c r="AP3" s="567"/>
      <c r="AQ3" s="567"/>
      <c r="AR3" s="567"/>
      <c r="AS3" s="567"/>
      <c r="AT3" s="756">
        <v>5</v>
      </c>
    </row>
    <row customHeight="1" ht="39.75">
      <c r="C4" s="506"/>
      <c r="D4" s="2213" t="str">
        <f>ORG_VD_NAME_FORM</f>
        <v>Форма 1. Информация об организации, осуществляющей холодное водоснабжение (общая информация)</v>
      </c>
      <c r="E4" s="2214"/>
      <c r="F4" s="2214"/>
      <c r="G4" s="2214"/>
      <c r="H4" s="2214"/>
      <c r="I4" s="2214"/>
      <c r="J4" s="2214"/>
      <c r="K4" s="2214"/>
      <c r="L4" s="2214"/>
      <c r="M4" s="2214"/>
      <c r="N4" s="2214"/>
      <c r="O4" s="2214"/>
      <c r="P4" s="2214"/>
      <c r="Q4" s="2214"/>
      <c r="R4" s="2215"/>
      <c r="S4" s="909"/>
      <c r="T4" s="755"/>
      <c r="U4" s="755"/>
      <c r="V4" s="755"/>
      <c r="W4" s="755"/>
      <c r="X4" s="755"/>
      <c r="Y4" s="755"/>
      <c r="Z4" s="755"/>
      <c r="AA4" s="755"/>
      <c r="AB4" s="755"/>
      <c r="AC4" s="755"/>
      <c r="AD4" s="755"/>
      <c r="AE4" s="547"/>
      <c r="AF4" s="547"/>
      <c r="AG4" s="547"/>
      <c r="AH4" s="547"/>
      <c r="AI4" s="544"/>
      <c r="AT4" s="503">
        <v>38</v>
      </c>
    </row>
    <row s="2774" customFormat="1" customHeight="1" ht="18">
      <c r="A5" s="815"/>
      <c r="C5" s="878"/>
      <c r="D5" s="2270" t="str">
        <f>IF(org=0,"Не определено",org)</f>
        <v>МУП ЖКХ "Родник"</v>
      </c>
      <c r="E5" s="2271"/>
      <c r="F5" s="2271"/>
      <c r="G5" s="2271"/>
      <c r="H5" s="2271"/>
      <c r="I5" s="2271"/>
      <c r="J5" s="2271"/>
      <c r="K5" s="2271"/>
      <c r="L5" s="2271"/>
      <c r="M5" s="2271"/>
      <c r="N5" s="2271"/>
      <c r="O5" s="2271"/>
      <c r="P5" s="2271"/>
      <c r="Q5" s="2271"/>
      <c r="R5" s="2272"/>
      <c r="S5" s="909"/>
      <c r="T5" s="755"/>
      <c r="U5" s="755"/>
      <c r="V5" s="755"/>
      <c r="W5" s="755"/>
      <c r="X5" s="755"/>
      <c r="Y5" s="755"/>
      <c r="Z5" s="755"/>
      <c r="AA5" s="755"/>
      <c r="AB5" s="755"/>
      <c r="AC5" s="755"/>
      <c r="AD5" s="755"/>
      <c r="AE5" s="547"/>
      <c r="AF5" s="547"/>
      <c r="AG5" s="547"/>
      <c r="AH5" s="547"/>
      <c r="AI5" s="544"/>
      <c r="AJ5" s="567"/>
      <c r="AK5" s="567"/>
      <c r="AL5" s="567"/>
      <c r="AM5" s="567"/>
      <c r="AN5" s="567"/>
      <c r="AO5" s="567"/>
      <c r="AP5" s="567"/>
      <c r="AQ5" s="567"/>
      <c r="AR5" s="567"/>
      <c r="AS5" s="567"/>
      <c r="AT5" s="814">
        <v>17</v>
      </c>
    </row>
    <row s="2749" customFormat="1" customHeight="1" ht="11.549999999999999">
      <c r="A6" s="535"/>
      <c r="C6" s="542"/>
      <c r="D6" s="541"/>
      <c r="E6" s="541"/>
      <c r="F6" s="541"/>
      <c r="G6" s="541"/>
      <c r="H6" s="541"/>
      <c r="I6" s="541"/>
      <c r="J6" s="541"/>
      <c r="K6" s="541"/>
      <c r="L6" s="541"/>
      <c r="M6" s="541"/>
      <c r="N6" s="541"/>
      <c r="O6" s="541"/>
      <c r="P6" s="541"/>
      <c r="Q6" s="541"/>
      <c r="R6" s="808"/>
      <c r="S6" s="808"/>
      <c r="T6" s="541"/>
      <c r="U6" s="541"/>
      <c r="V6" s="768"/>
      <c r="W6" s="768"/>
      <c r="X6" s="541"/>
      <c r="Y6" s="541"/>
      <c r="Z6" s="768"/>
      <c r="AA6" s="768"/>
      <c r="AB6" s="541"/>
      <c r="AC6" s="768"/>
      <c r="AD6" s="768"/>
      <c r="AE6" s="541"/>
      <c r="AF6" s="541"/>
      <c r="AG6" s="541"/>
      <c r="AH6" s="541"/>
      <c r="AJ6" s="545"/>
      <c r="AK6" s="545"/>
      <c r="AL6" s="545"/>
      <c r="AM6" s="545"/>
      <c r="AN6" s="545"/>
      <c r="AO6" s="545"/>
      <c r="AP6" s="545"/>
      <c r="AQ6" s="545"/>
      <c r="AR6" s="545"/>
      <c r="AS6" s="545"/>
      <c r="AT6" s="536">
        <v>11</v>
      </c>
    </row>
    <row customHeight="1" ht="14.699999999999998">
      <c r="C7" s="506"/>
      <c r="D7" s="2274" t="s">
        <v>432</v>
      </c>
      <c r="E7" s="2275"/>
      <c r="F7" s="2275"/>
      <c r="G7" s="2275"/>
      <c r="H7" s="2275"/>
      <c r="I7" s="2275"/>
      <c r="J7" s="2275"/>
      <c r="K7" s="2275"/>
      <c r="L7" s="2275"/>
      <c r="M7" s="2275"/>
      <c r="N7" s="2275"/>
      <c r="O7" s="2275"/>
      <c r="P7" s="2275"/>
      <c r="Q7" s="2275"/>
      <c r="R7" s="2275"/>
      <c r="S7" s="2275"/>
      <c r="T7" s="2275"/>
      <c r="U7" s="2275"/>
      <c r="V7" s="2275"/>
      <c r="W7" s="2275"/>
      <c r="X7" s="2275"/>
      <c r="Y7" s="2275"/>
      <c r="Z7" s="2275"/>
      <c r="AA7" s="2275"/>
      <c r="AB7" s="2275"/>
      <c r="AC7" s="2275"/>
      <c r="AD7" s="2276"/>
      <c r="AE7" s="2279" t="s">
        <v>433</v>
      </c>
      <c r="AF7" s="2279" t="s">
        <v>433</v>
      </c>
      <c r="AG7" s="2279" t="s">
        <v>433</v>
      </c>
      <c r="AH7" s="2279" t="s">
        <v>433</v>
      </c>
      <c r="AT7" s="503">
        <v>14</v>
      </c>
    </row>
    <row customHeight="1" ht="27.299999999999997">
      <c r="C8" s="506"/>
      <c r="D8" s="2183" t="s">
        <v>92</v>
      </c>
      <c r="E8" s="2279" t="str">
        <f>"Наименование "&amp;IF(TEMPLATE_SPHERE&lt;&gt;"HEAT","централизованной ","")&amp;"системы "&amp;TEMPLATE_SPHERE_RUS</f>
        <v>Наименование централизованной системы холодного водоснабжения</v>
      </c>
      <c r="F8" s="2279" t="str">
        <f>IF(TEMPLATE_SPHERE&lt;&gt;"HEAT","Регулируемый вид деятельности","Вид регулируемой деятельности")</f>
        <v>Регулируемый вид деятельности</v>
      </c>
      <c r="G8" s="884"/>
      <c r="H8" s="2280" t="s">
        <v>489</v>
      </c>
      <c r="I8" s="2282" t="s">
        <v>490</v>
      </c>
      <c r="J8" s="2279" t="s">
        <v>491</v>
      </c>
      <c r="K8" s="2279"/>
      <c r="L8" s="2279"/>
      <c r="M8" s="2274"/>
      <c r="N8" s="2279" t="s">
        <v>492</v>
      </c>
      <c r="O8" s="2279"/>
      <c r="P8" s="2279" t="s">
        <v>493</v>
      </c>
      <c r="Q8" s="2279"/>
      <c r="R8" s="2286" t="s">
        <v>494</v>
      </c>
      <c r="S8" s="880"/>
      <c r="T8" s="2284" t="s">
        <v>495</v>
      </c>
      <c r="U8" s="2284" t="s">
        <v>496</v>
      </c>
      <c r="V8" s="2284" t="s">
        <v>497</v>
      </c>
      <c r="W8" s="882"/>
      <c r="X8" s="2284" t="s">
        <v>498</v>
      </c>
      <c r="Y8" s="2284" t="s">
        <v>499</v>
      </c>
      <c r="Z8" s="2284" t="s">
        <v>500</v>
      </c>
      <c r="AA8" s="882"/>
      <c r="AB8" s="2284" t="s">
        <v>501</v>
      </c>
      <c r="AC8" s="2284" t="s">
        <v>494</v>
      </c>
      <c r="AD8" s="882"/>
      <c r="AE8" s="2279"/>
      <c r="AF8" s="2279"/>
      <c r="AG8" s="2279"/>
      <c r="AH8" s="2279"/>
      <c r="AT8" s="503">
        <v>26</v>
      </c>
    </row>
    <row customHeight="1" ht="46.199999999999996">
      <c r="C9" s="506"/>
      <c r="D9" s="2183"/>
      <c r="E9" s="2279"/>
      <c r="F9" s="2279"/>
      <c r="G9" s="885"/>
      <c r="H9" s="2281"/>
      <c r="I9" s="2283"/>
      <c r="J9" s="481" t="s">
        <v>502</v>
      </c>
      <c r="K9" s="481" t="s">
        <v>503</v>
      </c>
      <c r="L9" s="481" t="s">
        <v>504</v>
      </c>
      <c r="M9" s="487" t="s">
        <v>505</v>
      </c>
      <c r="N9" s="481" t="s">
        <v>506</v>
      </c>
      <c r="O9" s="481" t="s">
        <v>505</v>
      </c>
      <c r="P9" s="481" t="s">
        <v>507</v>
      </c>
      <c r="Q9" s="481" t="s">
        <v>505</v>
      </c>
      <c r="R9" s="2287"/>
      <c r="S9" s="881"/>
      <c r="T9" s="2285"/>
      <c r="U9" s="2285"/>
      <c r="V9" s="2285"/>
      <c r="W9" s="883"/>
      <c r="X9" s="2285"/>
      <c r="Y9" s="2285"/>
      <c r="Z9" s="2285"/>
      <c r="AA9" s="883"/>
      <c r="AB9" s="2285"/>
      <c r="AC9" s="2285"/>
      <c r="AD9" s="883"/>
      <c r="AE9" s="2279"/>
      <c r="AF9" s="2279"/>
      <c r="AG9" s="2279"/>
      <c r="AH9" s="2279"/>
      <c r="AT9" s="503">
        <v>44</v>
      </c>
    </row>
    <row customHeight="1" ht="12" hidden="1">
      <c r="C10" s="543"/>
      <c r="D10" s="504"/>
      <c r="E10" s="504"/>
      <c r="F10" s="504"/>
      <c r="G10" s="504"/>
      <c r="H10" s="504"/>
      <c r="I10" s="504"/>
      <c r="J10" s="504"/>
      <c r="K10" s="504"/>
      <c r="L10" s="504"/>
      <c r="M10" s="504"/>
      <c r="N10" s="504"/>
      <c r="O10" s="504"/>
      <c r="P10" s="504"/>
      <c r="Q10" s="504"/>
      <c r="R10" s="504"/>
      <c r="S10" s="504"/>
      <c r="T10" s="504"/>
      <c r="U10" s="504"/>
      <c r="V10" s="504"/>
      <c r="W10" s="504"/>
      <c r="X10" s="504"/>
      <c r="Y10" s="504"/>
      <c r="Z10" s="504"/>
      <c r="AA10" s="504"/>
      <c r="AB10" s="504"/>
      <c r="AC10" s="504"/>
      <c r="AD10" s="504"/>
      <c r="AE10" s="504"/>
      <c r="AF10" s="504"/>
      <c r="AG10" s="504"/>
      <c r="AH10" s="504"/>
      <c r="AI10" s="503"/>
      <c r="AP10" s="556"/>
      <c r="AQ10" s="556"/>
      <c r="AT10" s="503">
        <v>0</v>
      </c>
    </row>
    <row s="3442" customFormat="1" customHeight="1" ht="11.25" hidden="1">
      <c r="C11" s="554"/>
      <c r="D11" s="555" t="s">
        <v>508</v>
      </c>
      <c r="E11" s="555"/>
      <c r="F11" s="555"/>
      <c r="G11" s="555"/>
      <c r="H11" s="553"/>
      <c r="I11" s="553"/>
      <c r="J11" s="553"/>
      <c r="K11" s="553"/>
      <c r="L11" s="553"/>
      <c r="M11" s="553"/>
      <c r="N11" s="553"/>
      <c r="O11" s="553"/>
      <c r="P11" s="553"/>
      <c r="Q11" s="553"/>
      <c r="R11" s="553"/>
      <c r="S11" s="553"/>
      <c r="T11" s="553"/>
      <c r="U11" s="553"/>
      <c r="V11" s="553"/>
      <c r="W11" s="553"/>
      <c r="X11" s="553"/>
      <c r="Y11" s="553"/>
      <c r="Z11" s="553"/>
      <c r="AA11" s="553"/>
      <c r="AB11" s="553"/>
      <c r="AC11" s="553"/>
      <c r="AD11" s="553"/>
      <c r="AE11" s="491"/>
      <c r="AF11" s="491"/>
      <c r="AG11" s="491"/>
      <c r="AH11" s="491"/>
      <c r="AJ11" s="545"/>
      <c r="AK11" s="545"/>
      <c r="AL11" s="545"/>
      <c r="AM11" s="545"/>
      <c r="AN11" s="545"/>
      <c r="AO11" s="545"/>
      <c r="AP11" s="545"/>
      <c r="AQ11" s="545"/>
      <c r="AR11" s="545"/>
      <c r="AS11" s="545"/>
      <c r="AT11" s="552">
        <v>0</v>
      </c>
    </row>
    <row customHeight="1" ht="14.699999999999998">
      <c r="A12" s="503"/>
      <c r="C12" s="506"/>
      <c r="D12" s="490" t="s">
        <v>191</v>
      </c>
      <c r="E12" s="1833" t="s">
        <v>28</v>
      </c>
      <c r="F12" s="911"/>
      <c r="G12" s="912"/>
      <c r="H12" s="1834"/>
      <c r="I12" s="1834"/>
      <c r="J12" s="489"/>
      <c r="K12" s="1919"/>
      <c r="L12" s="488"/>
      <c r="M12" s="1919"/>
      <c r="N12" s="489"/>
      <c r="O12" s="1919"/>
      <c r="P12" s="489"/>
      <c r="Q12" s="1919"/>
      <c r="R12" s="489"/>
      <c r="S12" s="910"/>
      <c r="T12" s="1834"/>
      <c r="U12" s="489"/>
      <c r="V12" s="489"/>
      <c r="W12" s="883"/>
      <c r="X12" s="1834"/>
      <c r="Y12" s="489"/>
      <c r="Z12" s="489"/>
      <c r="AA12" s="883"/>
      <c r="AB12" s="1834"/>
      <c r="AC12" s="489"/>
      <c r="AD12" s="883"/>
      <c r="AE12" s="2277" t="s">
        <v>509</v>
      </c>
      <c r="AF12" s="2277" t="s">
        <v>510</v>
      </c>
      <c r="AG12" s="2277" t="s">
        <v>511</v>
      </c>
      <c r="AH12" s="2277" t="s">
        <v>512</v>
      </c>
      <c r="AI12" s="503"/>
      <c r="AM12" s="567"/>
      <c r="AP12" s="556" t="s">
        <v>513</v>
      </c>
      <c r="AQ12" s="556" t="s">
        <v>513</v>
      </c>
      <c r="AT12" s="503">
        <v>14</v>
      </c>
    </row>
    <row customHeight="1" ht="18">
      <c r="A13" s="503"/>
      <c r="C13" s="506"/>
      <c r="D13" s="461"/>
      <c r="E13" s="925" t="str">
        <f>IF(TITLE_DIFFERENTIATION_TYPE="нет","","Добавить систему")</f>
        <v/>
      </c>
      <c r="F13" s="925" t="str">
        <f>IF(TITLE_DIFFERENTIATION_TYPE="нет","Добавить вид деятельности","")</f>
        <v>Добавить вид деятельности</v>
      </c>
      <c r="G13" s="369"/>
      <c r="H13" s="462"/>
      <c r="I13" s="462"/>
      <c r="J13" s="462"/>
      <c r="K13" s="462"/>
      <c r="L13" s="462"/>
      <c r="M13" s="462"/>
      <c r="N13" s="462"/>
      <c r="O13" s="462"/>
      <c r="P13" s="462"/>
      <c r="Q13" s="462"/>
      <c r="R13" s="462"/>
      <c r="S13" s="462"/>
      <c r="T13" s="462"/>
      <c r="U13" s="462"/>
      <c r="V13" s="462"/>
      <c r="W13" s="462"/>
      <c r="X13" s="462"/>
      <c r="Y13" s="462"/>
      <c r="Z13" s="462"/>
      <c r="AA13" s="462"/>
      <c r="AB13" s="462"/>
      <c r="AC13" s="462"/>
      <c r="AD13" s="913"/>
      <c r="AE13" s="2278"/>
      <c r="AF13" s="2278"/>
      <c r="AG13" s="2278"/>
      <c r="AH13" s="2278"/>
      <c r="AI13" s="503"/>
      <c r="AT13" s="503">
        <v>17</v>
      </c>
    </row>
    <row customHeight="1" ht="14.699999999999998">
      <c r="AI14" s="503"/>
      <c r="AT14" s="503">
        <v>14</v>
      </c>
    </row>
    <row customHeight="1" ht="14.699999999999998">
      <c r="E15" s="814"/>
      <c r="L15" s="814"/>
      <c r="AT15" s="503">
        <v>14</v>
      </c>
    </row>
    <row customHeight="1" ht="14.699999999999998">
      <c r="L16" s="814"/>
      <c r="AT16" s="503">
        <v>14</v>
      </c>
    </row>
    <row customHeight="1" ht="14.699999999999998">
      <c r="L17" s="814"/>
      <c r="AT17" s="503">
        <v>14</v>
      </c>
    </row>
    <row customHeight="1" ht="22.5" hidden="1">
      <c r="A18" s="505" t="s">
        <v>86</v>
      </c>
      <c r="B18" s="503">
        <v>0</v>
      </c>
      <c r="C18" s="507">
        <v>3</v>
      </c>
      <c r="D18" s="503">
        <v>5</v>
      </c>
      <c r="E18" s="503">
        <v>48</v>
      </c>
      <c r="F18" s="503">
        <v>38</v>
      </c>
      <c r="G18" s="814">
        <v>0</v>
      </c>
      <c r="H18" s="503">
        <v>0</v>
      </c>
      <c r="I18" s="503">
        <v>0</v>
      </c>
      <c r="J18" s="503">
        <v>0</v>
      </c>
      <c r="K18" s="503">
        <v>0</v>
      </c>
      <c r="L18" s="503">
        <v>0</v>
      </c>
      <c r="M18" s="503">
        <v>0</v>
      </c>
      <c r="N18" s="503">
        <v>0</v>
      </c>
      <c r="O18" s="503">
        <v>0</v>
      </c>
      <c r="P18" s="503">
        <v>0</v>
      </c>
      <c r="Q18" s="503">
        <v>0</v>
      </c>
      <c r="R18" s="503">
        <v>0</v>
      </c>
      <c r="S18" s="814">
        <v>0</v>
      </c>
      <c r="T18" s="561">
        <v>0</v>
      </c>
      <c r="U18" s="561">
        <v>0</v>
      </c>
      <c r="V18" s="561">
        <v>0</v>
      </c>
      <c r="W18" s="814">
        <v>0</v>
      </c>
      <c r="X18" s="561">
        <v>0</v>
      </c>
      <c r="Y18" s="561">
        <v>0</v>
      </c>
      <c r="Z18" s="561">
        <v>0</v>
      </c>
      <c r="AA18" s="814">
        <v>0</v>
      </c>
      <c r="AB18" s="561">
        <v>0</v>
      </c>
      <c r="AC18" s="561">
        <v>0</v>
      </c>
      <c r="AD18" s="814">
        <v>0</v>
      </c>
      <c r="AE18" s="503">
        <v>0</v>
      </c>
      <c r="AF18" s="561">
        <v>0</v>
      </c>
      <c r="AG18" s="561">
        <v>0</v>
      </c>
      <c r="AH18" s="561">
        <v>0</v>
      </c>
      <c r="AI18" s="508">
        <v>3</v>
      </c>
      <c r="AJ18" s="545">
        <v>10</v>
      </c>
      <c r="AK18" s="545">
        <v>10</v>
      </c>
      <c r="AL18" s="545">
        <v>10</v>
      </c>
      <c r="AM18" s="545">
        <v>0</v>
      </c>
      <c r="AN18" s="545">
        <v>15</v>
      </c>
      <c r="AO18" s="545">
        <v>16</v>
      </c>
      <c r="AP18" s="545">
        <v>10</v>
      </c>
      <c r="AQ18" s="545">
        <v>10</v>
      </c>
      <c r="AR18" s="545">
        <v>10</v>
      </c>
      <c r="AS18" s="545">
        <v>10</v>
      </c>
      <c r="AT18" s="503">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0769FA-7E06-341A-288D-483070DBD584}" mc:Ignorable="x14ac xr xr2 xr3">
  <sheetPr>
    <tabColor rgb="FFFFCC99"/>
  </sheetPr>
  <dimension ref="A1:B18"/>
  <sheetViews>
    <sheetView topLeftCell="A1" showGridLines="0" workbookViewId="0">
      <selection activeCell="A1" sqref="A1"/>
    </sheetView>
  </sheetViews>
  <sheetFormatPr defaultColWidth="9.140625" customHeight="1" defaultRowHeight="11.25"/>
  <cols>
    <col min="1" max="2" style="13651" width="9.140625"/>
  </cols>
  <sheetData>
    <row customHeight="1" ht="11.25">
      <c r="A1" s="239" t="s">
        <v>209</v>
      </c>
      <c r="B1" s="239" t="s">
        <v>4015</v>
      </c>
    </row>
    <row customHeight="1" ht="11.25">
      <c r="A2" s="13652" t="s">
        <v>102</v>
      </c>
      <c r="B2" s="13652" t="s">
        <v>4016</v>
      </c>
    </row>
    <row customHeight="1" ht="11.25">
      <c r="A3" s="13652" t="s">
        <v>110</v>
      </c>
      <c r="B3" s="13652" t="s">
        <v>4017</v>
      </c>
    </row>
    <row customHeight="1" ht="11.25">
      <c r="A4" s="13652" t="s">
        <v>114</v>
      </c>
      <c r="B4" s="13652" t="s">
        <v>4018</v>
      </c>
    </row>
    <row customHeight="1" ht="11.25">
      <c r="A5" s="13652" t="s">
        <v>118</v>
      </c>
      <c r="B5" s="13652" t="s">
        <v>4019</v>
      </c>
    </row>
    <row customHeight="1" ht="11.25">
      <c r="A6" s="13652" t="s">
        <v>123</v>
      </c>
      <c r="B6" s="13652" t="s">
        <v>4020</v>
      </c>
    </row>
    <row customHeight="1" ht="11.25">
      <c r="A7" s="13652" t="s">
        <v>127</v>
      </c>
      <c r="B7" s="13652" t="s">
        <v>4021</v>
      </c>
    </row>
    <row customHeight="1" ht="11.25">
      <c r="A8" s="13652" t="s">
        <v>131</v>
      </c>
      <c r="B8" s="13652" t="s">
        <v>4022</v>
      </c>
    </row>
    <row customHeight="1" ht="11.25">
      <c r="A9" s="13652" t="s">
        <v>136</v>
      </c>
      <c r="B9" s="13652" t="s">
        <v>4023</v>
      </c>
    </row>
    <row customHeight="1" ht="11.25">
      <c r="A10" s="13652" t="s">
        <v>141</v>
      </c>
      <c r="B10" s="13652" t="s">
        <v>4024</v>
      </c>
    </row>
    <row customHeight="1" ht="11.25">
      <c r="A11" s="13652" t="s">
        <v>146</v>
      </c>
      <c r="B11" s="13652" t="s">
        <v>4025</v>
      </c>
    </row>
    <row customHeight="1" ht="11.25">
      <c r="A12" s="13652" t="s">
        <v>151</v>
      </c>
      <c r="B12" s="13652" t="s">
        <v>4026</v>
      </c>
    </row>
    <row customHeight="1" ht="11.25">
      <c r="A13" s="13652" t="s">
        <v>156</v>
      </c>
      <c r="B13" s="13652" t="s">
        <v>4027</v>
      </c>
    </row>
    <row customHeight="1" ht="11.25">
      <c r="A14" s="13652" t="s">
        <v>161</v>
      </c>
      <c r="B14" s="13652" t="s">
        <v>4028</v>
      </c>
    </row>
    <row customHeight="1" ht="11.25">
      <c r="A15" s="13652" t="s">
        <v>166</v>
      </c>
      <c r="B15" s="13652" t="s">
        <v>4029</v>
      </c>
    </row>
    <row customHeight="1" ht="11.25">
      <c r="A16" s="13652" t="s">
        <v>171</v>
      </c>
      <c r="B16" s="13652" t="s">
        <v>4030</v>
      </c>
    </row>
    <row customHeight="1" ht="11.25">
      <c r="A17" s="13652" t="s">
        <v>176</v>
      </c>
      <c r="B17" s="13652" t="s">
        <v>4031</v>
      </c>
    </row>
    <row customHeight="1" ht="11.25">
      <c r="A18" s="13652" t="s">
        <v>181</v>
      </c>
      <c r="B18" s="13652" t="s">
        <v>4032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2A9282-38BC-3D3F-2AAD-7790C0D925D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3053" width="9.140625"/>
    <col min="2" max="2" style="13053" width="65.28125" customWidth="1"/>
  </cols>
  <sheetData>
    <row customHeight="1" ht="11.25">
      <c r="A1" s="891" t="s">
        <v>4033</v>
      </c>
      <c r="B1" s="891" t="s">
        <v>4034</v>
      </c>
    </row>
    <row customHeight="1" ht="11.25">
      <c r="A2" s="891">
        <v>4213775</v>
      </c>
      <c r="B2" s="891" t="s">
        <v>1361</v>
      </c>
    </row>
    <row customHeight="1" ht="11.25">
      <c r="A3" s="891">
        <v>4213784</v>
      </c>
      <c r="B3" s="891" t="s">
        <v>1393</v>
      </c>
    </row>
    <row customHeight="1" ht="11.25">
      <c r="A4" s="891">
        <v>4213781</v>
      </c>
      <c r="B4" s="891" t="s">
        <v>1386</v>
      </c>
    </row>
    <row customHeight="1" ht="11.25">
      <c r="A5" s="891">
        <v>4213776</v>
      </c>
      <c r="B5" s="891" t="s">
        <v>239</v>
      </c>
    </row>
    <row customHeight="1" ht="11.25">
      <c r="A6" s="891">
        <v>4213777</v>
      </c>
      <c r="B6" s="891" t="s">
        <v>245</v>
      </c>
    </row>
    <row customHeight="1" ht="11.25">
      <c r="A7" s="891">
        <v>4213778</v>
      </c>
      <c r="B7" s="891" t="s">
        <v>251</v>
      </c>
    </row>
    <row customHeight="1" ht="11.25">
      <c r="A8" s="891">
        <v>4213780</v>
      </c>
      <c r="B8" s="891" t="s">
        <v>257</v>
      </c>
    </row>
    <row customHeight="1" ht="11.25">
      <c r="A9" s="891">
        <v>4213779</v>
      </c>
      <c r="B9" s="891" t="s">
        <v>1526</v>
      </c>
    </row>
    <row customHeight="1" ht="11.25">
      <c r="A10" s="891">
        <v>4213783</v>
      </c>
      <c r="B10" s="891" t="s">
        <v>1541</v>
      </c>
    </row>
    <row customHeight="1" ht="11.25">
      <c r="A11" s="891">
        <v>4213782</v>
      </c>
      <c r="B11" s="891" t="s">
        <v>263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72F587-F361-DF26-2C5C-32164B8E8539}"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13053" width="9.140625"/>
    <col min="2" max="2" style="13053" width="65.28125" customWidth="1"/>
  </cols>
  <sheetData>
    <row customHeight="1" ht="11.25">
      <c r="A1" s="891" t="s">
        <v>4033</v>
      </c>
      <c r="B1" s="891" t="s">
        <v>4035</v>
      </c>
    </row>
    <row customHeight="1" ht="11.25">
      <c r="A2" s="891" t="s">
        <v>4036</v>
      </c>
      <c r="B2" s="891" t="s">
        <v>1637</v>
      </c>
    </row>
    <row customHeight="1" ht="11.25">
      <c r="A3" s="891" t="s">
        <v>4037</v>
      </c>
      <c r="B3" s="891" t="s">
        <v>1647</v>
      </c>
    </row>
    <row customHeight="1" ht="11.25">
      <c r="A4" s="891" t="s">
        <v>4038</v>
      </c>
      <c r="B4" s="891" t="s">
        <v>1656</v>
      </c>
    </row>
    <row customHeight="1" ht="11.25">
      <c r="A5" s="891" t="s">
        <v>4039</v>
      </c>
      <c r="B5" s="891" t="s">
        <v>1665</v>
      </c>
    </row>
    <row customHeight="1" ht="11.25">
      <c r="A6" s="891" t="s">
        <v>4040</v>
      </c>
      <c r="B6" s="891" t="s">
        <v>1671</v>
      </c>
    </row>
    <row customHeight="1" ht="11.25">
      <c r="A7" s="891" t="s">
        <v>4041</v>
      </c>
      <c r="B7" s="891" t="s">
        <v>1679</v>
      </c>
    </row>
    <row customHeight="1" ht="11.25">
      <c r="A8" s="891" t="s">
        <v>4042</v>
      </c>
      <c r="B8" s="891" t="s">
        <v>1686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846A02-6113-7111-D51F-036A1087A2BC}" mc:Ignorable="x14ac xr xr2 xr3">
  <sheetPr>
    <tabColor rgb="FFFFCC99"/>
  </sheetPr>
  <dimension ref="A1:G348"/>
  <sheetViews>
    <sheetView topLeftCell="A1" showGridLines="0" workbookViewId="0">
      <selection activeCell="A1" sqref="A1"/>
    </sheetView>
  </sheetViews>
  <sheetFormatPr customHeight="1" defaultRowHeight="11.25"/>
  <sheetData>
    <row customHeight="1" ht="11.25">
      <c r="A1" s="429" t="s">
        <v>3078</v>
      </c>
      <c r="B1" s="429" t="s">
        <v>3079</v>
      </c>
      <c r="C1" s="429" t="s">
        <v>3080</v>
      </c>
      <c r="D1" s="429" t="s">
        <v>3081</v>
      </c>
      <c r="E1" s="0" t="s">
        <v>3082</v>
      </c>
      <c r="F1" s="0" t="s">
        <v>3083</v>
      </c>
      <c r="G1" s="0" t="s">
        <v>3084</v>
      </c>
    </row>
    <row customHeight="1" ht="11.25">
      <c r="A2" s="0" t="s">
        <v>16</v>
      </c>
      <c r="B2" s="0" t="s">
        <v>3085</v>
      </c>
      <c r="C2" s="0" t="s">
        <v>3086</v>
      </c>
      <c r="D2" s="0" t="s">
        <v>3087</v>
      </c>
      <c r="E2" s="0" t="s">
        <v>3088</v>
      </c>
      <c r="F2" s="0" t="s">
        <v>3089</v>
      </c>
      <c r="G2" s="0" t="s">
        <v>191</v>
      </c>
    </row>
    <row customHeight="1" ht="11.25">
      <c r="A3" s="0" t="s">
        <v>16</v>
      </c>
      <c r="B3" s="0" t="s">
        <v>3085</v>
      </c>
      <c r="C3" s="0" t="s">
        <v>3086</v>
      </c>
      <c r="D3" s="0" t="s">
        <v>3085</v>
      </c>
      <c r="E3" s="0" t="s">
        <v>3086</v>
      </c>
      <c r="F3" s="0" t="s">
        <v>3090</v>
      </c>
      <c r="G3" s="0" t="s">
        <v>108</v>
      </c>
    </row>
    <row customHeight="1" ht="11.25">
      <c r="A4" s="0" t="s">
        <v>16</v>
      </c>
      <c r="B4" s="0" t="s">
        <v>3085</v>
      </c>
      <c r="C4" s="0" t="s">
        <v>3086</v>
      </c>
      <c r="D4" s="0" t="s">
        <v>3091</v>
      </c>
      <c r="E4" s="0" t="s">
        <v>3092</v>
      </c>
      <c r="F4" s="0" t="s">
        <v>3089</v>
      </c>
      <c r="G4" s="0" t="s">
        <v>94</v>
      </c>
    </row>
    <row customHeight="1" ht="11.25">
      <c r="A5" s="0" t="s">
        <v>16</v>
      </c>
      <c r="B5" s="0" t="s">
        <v>3085</v>
      </c>
      <c r="C5" s="0" t="s">
        <v>3086</v>
      </c>
      <c r="D5" s="0" t="s">
        <v>3093</v>
      </c>
      <c r="E5" s="0" t="s">
        <v>3094</v>
      </c>
      <c r="F5" s="0" t="s">
        <v>3089</v>
      </c>
      <c r="G5" s="0" t="s">
        <v>95</v>
      </c>
    </row>
    <row customHeight="1" ht="11.25">
      <c r="A6" s="0" t="s">
        <v>16</v>
      </c>
      <c r="B6" s="0" t="s">
        <v>3085</v>
      </c>
      <c r="C6" s="0" t="s">
        <v>3086</v>
      </c>
      <c r="D6" s="0" t="s">
        <v>3095</v>
      </c>
      <c r="E6" s="0" t="s">
        <v>3096</v>
      </c>
      <c r="F6" s="0" t="s">
        <v>3089</v>
      </c>
      <c r="G6" s="0" t="s">
        <v>122</v>
      </c>
    </row>
    <row customHeight="1" ht="11.25">
      <c r="A7" s="0" t="s">
        <v>16</v>
      </c>
      <c r="B7" s="0" t="s">
        <v>3085</v>
      </c>
      <c r="C7" s="0" t="s">
        <v>3086</v>
      </c>
      <c r="D7" s="0" t="s">
        <v>3097</v>
      </c>
      <c r="E7" s="0" t="s">
        <v>3098</v>
      </c>
      <c r="F7" s="0" t="s">
        <v>3089</v>
      </c>
      <c r="G7" s="0" t="s">
        <v>96</v>
      </c>
    </row>
    <row customHeight="1" ht="11.25">
      <c r="A8" s="0" t="s">
        <v>16</v>
      </c>
      <c r="B8" s="0" t="s">
        <v>3085</v>
      </c>
      <c r="C8" s="0" t="s">
        <v>3086</v>
      </c>
      <c r="D8" s="0" t="s">
        <v>3099</v>
      </c>
      <c r="E8" s="0" t="s">
        <v>3100</v>
      </c>
      <c r="F8" s="0" t="s">
        <v>3089</v>
      </c>
      <c r="G8" s="0" t="s">
        <v>97</v>
      </c>
    </row>
    <row customHeight="1" ht="11.25">
      <c r="A9" s="0" t="s">
        <v>16</v>
      </c>
      <c r="B9" s="0" t="s">
        <v>3085</v>
      </c>
      <c r="C9" s="0" t="s">
        <v>3086</v>
      </c>
      <c r="D9" s="0" t="s">
        <v>3101</v>
      </c>
      <c r="E9" s="0" t="s">
        <v>3102</v>
      </c>
      <c r="F9" s="0" t="s">
        <v>3089</v>
      </c>
      <c r="G9" s="0" t="s">
        <v>135</v>
      </c>
    </row>
    <row customHeight="1" ht="11.25">
      <c r="A10" s="0" t="s">
        <v>16</v>
      </c>
      <c r="B10" s="0" t="s">
        <v>3085</v>
      </c>
      <c r="C10" s="0" t="s">
        <v>3086</v>
      </c>
      <c r="D10" s="0" t="s">
        <v>3103</v>
      </c>
      <c r="E10" s="0" t="s">
        <v>3104</v>
      </c>
      <c r="F10" s="0" t="s">
        <v>3089</v>
      </c>
      <c r="G10" s="0" t="s">
        <v>140</v>
      </c>
    </row>
    <row customHeight="1" ht="11.25">
      <c r="A11" s="0" t="s">
        <v>16</v>
      </c>
      <c r="B11" s="0" t="s">
        <v>3085</v>
      </c>
      <c r="C11" s="0" t="s">
        <v>3086</v>
      </c>
      <c r="D11" s="0" t="s">
        <v>3105</v>
      </c>
      <c r="E11" s="0" t="s">
        <v>3106</v>
      </c>
      <c r="F11" s="0" t="s">
        <v>3089</v>
      </c>
      <c r="G11" s="0" t="s">
        <v>145</v>
      </c>
    </row>
    <row customHeight="1" ht="11.25">
      <c r="A12" s="0" t="s">
        <v>16</v>
      </c>
      <c r="B12" s="0" t="s">
        <v>3085</v>
      </c>
      <c r="C12" s="0" t="s">
        <v>3086</v>
      </c>
      <c r="D12" s="0" t="s">
        <v>3107</v>
      </c>
      <c r="E12" s="0" t="s">
        <v>3108</v>
      </c>
      <c r="F12" s="0" t="s">
        <v>3089</v>
      </c>
      <c r="G12" s="0" t="s">
        <v>150</v>
      </c>
    </row>
    <row customHeight="1" ht="11.25">
      <c r="A13" s="0" t="s">
        <v>16</v>
      </c>
      <c r="B13" s="0" t="s">
        <v>3085</v>
      </c>
      <c r="C13" s="0" t="s">
        <v>3086</v>
      </c>
      <c r="D13" s="0" t="s">
        <v>3109</v>
      </c>
      <c r="E13" s="0" t="s">
        <v>3110</v>
      </c>
      <c r="F13" s="0" t="s">
        <v>3089</v>
      </c>
      <c r="G13" s="0" t="s">
        <v>155</v>
      </c>
    </row>
    <row customHeight="1" ht="11.25">
      <c r="A14" s="0" t="s">
        <v>16</v>
      </c>
      <c r="B14" s="0" t="s">
        <v>3085</v>
      </c>
      <c r="C14" s="0" t="s">
        <v>3086</v>
      </c>
      <c r="D14" s="0" t="s">
        <v>3111</v>
      </c>
      <c r="E14" s="0" t="s">
        <v>3112</v>
      </c>
      <c r="F14" s="0" t="s">
        <v>3089</v>
      </c>
      <c r="G14" s="0" t="s">
        <v>160</v>
      </c>
    </row>
    <row customHeight="1" ht="11.25">
      <c r="A15" s="0" t="s">
        <v>16</v>
      </c>
      <c r="B15" s="0" t="s">
        <v>3085</v>
      </c>
      <c r="C15" s="0" t="s">
        <v>3086</v>
      </c>
      <c r="D15" s="0" t="s">
        <v>3113</v>
      </c>
      <c r="E15" s="0" t="s">
        <v>3114</v>
      </c>
      <c r="F15" s="0" t="s">
        <v>3089</v>
      </c>
      <c r="G15" s="0" t="s">
        <v>165</v>
      </c>
    </row>
    <row customHeight="1" ht="11.25">
      <c r="A16" s="0" t="s">
        <v>16</v>
      </c>
      <c r="B16" s="0" t="s">
        <v>3085</v>
      </c>
      <c r="C16" s="0" t="s">
        <v>3086</v>
      </c>
      <c r="D16" s="0" t="s">
        <v>3115</v>
      </c>
      <c r="E16" s="0" t="s">
        <v>3116</v>
      </c>
      <c r="F16" s="0" t="s">
        <v>3089</v>
      </c>
      <c r="G16" s="0" t="s">
        <v>170</v>
      </c>
    </row>
    <row customHeight="1" ht="11.25">
      <c r="A17" s="0" t="s">
        <v>16</v>
      </c>
      <c r="B17" s="0" t="s">
        <v>3117</v>
      </c>
      <c r="C17" s="0" t="s">
        <v>3118</v>
      </c>
      <c r="D17" s="0" t="s">
        <v>3117</v>
      </c>
      <c r="E17" s="0" t="s">
        <v>3118</v>
      </c>
      <c r="F17" s="0" t="s">
        <v>3090</v>
      </c>
      <c r="G17" s="0" t="s">
        <v>175</v>
      </c>
    </row>
    <row customHeight="1" ht="11.25">
      <c r="A18" s="0" t="s">
        <v>16</v>
      </c>
      <c r="B18" s="0" t="s">
        <v>3117</v>
      </c>
      <c r="C18" s="0" t="s">
        <v>3118</v>
      </c>
      <c r="D18" s="0" t="s">
        <v>3119</v>
      </c>
      <c r="E18" s="0" t="s">
        <v>3120</v>
      </c>
      <c r="F18" s="0" t="s">
        <v>3089</v>
      </c>
      <c r="G18" s="0" t="s">
        <v>180</v>
      </c>
    </row>
    <row customHeight="1" ht="11.25">
      <c r="A19" s="0" t="s">
        <v>16</v>
      </c>
      <c r="B19" s="0" t="s">
        <v>3117</v>
      </c>
      <c r="C19" s="0" t="s">
        <v>3118</v>
      </c>
      <c r="D19" s="0" t="s">
        <v>3121</v>
      </c>
      <c r="E19" s="0" t="s">
        <v>3122</v>
      </c>
      <c r="F19" s="0" t="s">
        <v>3089</v>
      </c>
      <c r="G19" s="0" t="s">
        <v>1630</v>
      </c>
    </row>
    <row customHeight="1" ht="11.25">
      <c r="A20" s="0" t="s">
        <v>16</v>
      </c>
      <c r="B20" s="0" t="s">
        <v>3117</v>
      </c>
      <c r="C20" s="0" t="s">
        <v>3118</v>
      </c>
      <c r="D20" s="0" t="s">
        <v>3123</v>
      </c>
      <c r="E20" s="0" t="s">
        <v>3124</v>
      </c>
      <c r="F20" s="0" t="s">
        <v>3089</v>
      </c>
      <c r="G20" s="0" t="s">
        <v>1642</v>
      </c>
    </row>
    <row customHeight="1" ht="11.25">
      <c r="A21" s="0" t="s">
        <v>16</v>
      </c>
      <c r="B21" s="0" t="s">
        <v>3117</v>
      </c>
      <c r="C21" s="0" t="s">
        <v>3118</v>
      </c>
      <c r="D21" s="0" t="s">
        <v>3125</v>
      </c>
      <c r="E21" s="0" t="s">
        <v>3126</v>
      </c>
      <c r="F21" s="0" t="s">
        <v>3089</v>
      </c>
      <c r="G21" s="0" t="s">
        <v>1651</v>
      </c>
    </row>
    <row customHeight="1" ht="11.25">
      <c r="A22" s="0" t="s">
        <v>16</v>
      </c>
      <c r="B22" s="0" t="s">
        <v>3117</v>
      </c>
      <c r="C22" s="0" t="s">
        <v>3118</v>
      </c>
      <c r="D22" s="0" t="s">
        <v>3127</v>
      </c>
      <c r="E22" s="0" t="s">
        <v>3128</v>
      </c>
      <c r="F22" s="0" t="s">
        <v>3089</v>
      </c>
      <c r="G22" s="0" t="s">
        <v>1667</v>
      </c>
    </row>
    <row customHeight="1" ht="11.25">
      <c r="A23" s="0" t="s">
        <v>16</v>
      </c>
      <c r="B23" s="0" t="s">
        <v>3117</v>
      </c>
      <c r="C23" s="0" t="s">
        <v>3118</v>
      </c>
      <c r="D23" s="0" t="s">
        <v>3129</v>
      </c>
      <c r="E23" s="0" t="s">
        <v>3130</v>
      </c>
      <c r="F23" s="0" t="s">
        <v>3089</v>
      </c>
      <c r="G23" s="0" t="s">
        <v>1674</v>
      </c>
    </row>
    <row customHeight="1" ht="11.25">
      <c r="A24" s="0" t="s">
        <v>16</v>
      </c>
      <c r="B24" s="0" t="s">
        <v>3117</v>
      </c>
      <c r="C24" s="0" t="s">
        <v>3118</v>
      </c>
      <c r="D24" s="0" t="s">
        <v>3131</v>
      </c>
      <c r="E24" s="0" t="s">
        <v>3132</v>
      </c>
      <c r="F24" s="0" t="s">
        <v>3089</v>
      </c>
      <c r="G24" s="0" t="s">
        <v>1682</v>
      </c>
    </row>
    <row customHeight="1" ht="11.25">
      <c r="A25" s="0" t="s">
        <v>16</v>
      </c>
      <c r="B25" s="0" t="s">
        <v>3133</v>
      </c>
      <c r="C25" s="0" t="s">
        <v>3134</v>
      </c>
      <c r="D25" s="0" t="s">
        <v>3135</v>
      </c>
      <c r="E25" s="0" t="s">
        <v>3136</v>
      </c>
      <c r="F25" s="0" t="s">
        <v>3089</v>
      </c>
      <c r="G25" s="0" t="s">
        <v>1689</v>
      </c>
    </row>
    <row customHeight="1" ht="11.25">
      <c r="A26" s="0" t="s">
        <v>16</v>
      </c>
      <c r="B26" s="0" t="s">
        <v>3133</v>
      </c>
      <c r="C26" s="0" t="s">
        <v>3134</v>
      </c>
      <c r="D26" s="0" t="s">
        <v>3137</v>
      </c>
      <c r="E26" s="0" t="s">
        <v>3138</v>
      </c>
      <c r="F26" s="0" t="s">
        <v>3089</v>
      </c>
      <c r="G26" s="0" t="s">
        <v>1693</v>
      </c>
    </row>
    <row customHeight="1" ht="11.25">
      <c r="A27" s="0" t="s">
        <v>16</v>
      </c>
      <c r="B27" s="0" t="s">
        <v>3133</v>
      </c>
      <c r="C27" s="0" t="s">
        <v>3134</v>
      </c>
      <c r="D27" s="0" t="s">
        <v>3133</v>
      </c>
      <c r="E27" s="0" t="s">
        <v>3134</v>
      </c>
      <c r="F27" s="0" t="s">
        <v>3090</v>
      </c>
      <c r="G27" s="0" t="s">
        <v>1698</v>
      </c>
    </row>
    <row customHeight="1" ht="11.25">
      <c r="A28" s="0" t="s">
        <v>16</v>
      </c>
      <c r="B28" s="0" t="s">
        <v>3133</v>
      </c>
      <c r="C28" s="0" t="s">
        <v>3134</v>
      </c>
      <c r="D28" s="0" t="s">
        <v>3139</v>
      </c>
      <c r="E28" s="0" t="s">
        <v>3140</v>
      </c>
      <c r="F28" s="0" t="s">
        <v>3089</v>
      </c>
      <c r="G28" s="0" t="s">
        <v>1706</v>
      </c>
    </row>
    <row customHeight="1" ht="11.25">
      <c r="A29" s="0" t="s">
        <v>16</v>
      </c>
      <c r="B29" s="0" t="s">
        <v>3133</v>
      </c>
      <c r="C29" s="0" t="s">
        <v>3134</v>
      </c>
      <c r="D29" s="0" t="s">
        <v>3141</v>
      </c>
      <c r="E29" s="0" t="s">
        <v>3142</v>
      </c>
      <c r="F29" s="0" t="s">
        <v>3089</v>
      </c>
      <c r="G29" s="0" t="s">
        <v>1708</v>
      </c>
    </row>
    <row customHeight="1" ht="11.25">
      <c r="A30" s="0" t="s">
        <v>16</v>
      </c>
      <c r="B30" s="0" t="s">
        <v>3133</v>
      </c>
      <c r="C30" s="0" t="s">
        <v>3134</v>
      </c>
      <c r="D30" s="0" t="s">
        <v>3143</v>
      </c>
      <c r="E30" s="0" t="s">
        <v>3144</v>
      </c>
      <c r="F30" s="0" t="s">
        <v>3089</v>
      </c>
      <c r="G30" s="0" t="s">
        <v>1711</v>
      </c>
    </row>
    <row customHeight="1" ht="11.25">
      <c r="A31" s="0" t="s">
        <v>16</v>
      </c>
      <c r="B31" s="0" t="s">
        <v>3133</v>
      </c>
      <c r="C31" s="0" t="s">
        <v>3134</v>
      </c>
      <c r="D31" s="0" t="s">
        <v>3145</v>
      </c>
      <c r="E31" s="0" t="s">
        <v>3146</v>
      </c>
      <c r="F31" s="0" t="s">
        <v>3089</v>
      </c>
      <c r="G31" s="0" t="s">
        <v>1716</v>
      </c>
    </row>
    <row customHeight="1" ht="11.25">
      <c r="A32" s="0" t="s">
        <v>16</v>
      </c>
      <c r="B32" s="0" t="s">
        <v>3133</v>
      </c>
      <c r="C32" s="0" t="s">
        <v>3134</v>
      </c>
      <c r="D32" s="0" t="s">
        <v>3147</v>
      </c>
      <c r="E32" s="0" t="s">
        <v>3148</v>
      </c>
      <c r="F32" s="0" t="s">
        <v>3089</v>
      </c>
      <c r="G32" s="0" t="s">
        <v>1717</v>
      </c>
    </row>
    <row customHeight="1" ht="11.25">
      <c r="A33" s="0" t="s">
        <v>16</v>
      </c>
      <c r="B33" s="0" t="s">
        <v>3133</v>
      </c>
      <c r="C33" s="0" t="s">
        <v>3134</v>
      </c>
      <c r="D33" s="0" t="s">
        <v>3149</v>
      </c>
      <c r="E33" s="0" t="s">
        <v>3150</v>
      </c>
      <c r="F33" s="0" t="s">
        <v>3089</v>
      </c>
      <c r="G33" s="0" t="s">
        <v>1719</v>
      </c>
    </row>
    <row customHeight="1" ht="11.25">
      <c r="A34" s="0" t="s">
        <v>16</v>
      </c>
      <c r="B34" s="0" t="s">
        <v>3133</v>
      </c>
      <c r="C34" s="0" t="s">
        <v>3134</v>
      </c>
      <c r="D34" s="0" t="s">
        <v>3151</v>
      </c>
      <c r="E34" s="0" t="s">
        <v>3152</v>
      </c>
      <c r="F34" s="0" t="s">
        <v>3089</v>
      </c>
      <c r="G34" s="0" t="s">
        <v>1721</v>
      </c>
    </row>
    <row customHeight="1" ht="11.25">
      <c r="A35" s="0" t="s">
        <v>16</v>
      </c>
      <c r="B35" s="0" t="s">
        <v>3133</v>
      </c>
      <c r="C35" s="0" t="s">
        <v>3134</v>
      </c>
      <c r="D35" s="0" t="s">
        <v>3153</v>
      </c>
      <c r="E35" s="0" t="s">
        <v>3154</v>
      </c>
      <c r="F35" s="0" t="s">
        <v>3089</v>
      </c>
      <c r="G35" s="0" t="s">
        <v>1726</v>
      </c>
    </row>
    <row customHeight="1" ht="11.25">
      <c r="A36" s="0" t="s">
        <v>16</v>
      </c>
      <c r="B36" s="0" t="s">
        <v>3133</v>
      </c>
      <c r="C36" s="0" t="s">
        <v>3134</v>
      </c>
      <c r="D36" s="0" t="s">
        <v>3155</v>
      </c>
      <c r="E36" s="0" t="s">
        <v>3156</v>
      </c>
      <c r="F36" s="0" t="s">
        <v>3089</v>
      </c>
      <c r="G36" s="0" t="s">
        <v>1731</v>
      </c>
    </row>
    <row customHeight="1" ht="11.25">
      <c r="A37" s="0" t="s">
        <v>16</v>
      </c>
      <c r="B37" s="0" t="s">
        <v>3133</v>
      </c>
      <c r="C37" s="0" t="s">
        <v>3134</v>
      </c>
      <c r="D37" s="0" t="s">
        <v>3157</v>
      </c>
      <c r="E37" s="0" t="s">
        <v>3158</v>
      </c>
      <c r="F37" s="0" t="s">
        <v>3159</v>
      </c>
      <c r="G37" s="0" t="s">
        <v>1735</v>
      </c>
    </row>
    <row customHeight="1" ht="11.25">
      <c r="A38" s="0" t="s">
        <v>16</v>
      </c>
      <c r="B38" s="0" t="s">
        <v>3133</v>
      </c>
      <c r="C38" s="0" t="s">
        <v>3134</v>
      </c>
      <c r="D38" s="0" t="s">
        <v>3160</v>
      </c>
      <c r="E38" s="0" t="s">
        <v>3161</v>
      </c>
      <c r="F38" s="0" t="s">
        <v>3159</v>
      </c>
      <c r="G38" s="0" t="s">
        <v>1743</v>
      </c>
    </row>
    <row customHeight="1" ht="11.25">
      <c r="A39" s="0" t="s">
        <v>16</v>
      </c>
      <c r="B39" s="0" t="s">
        <v>3162</v>
      </c>
      <c r="C39" s="0" t="s">
        <v>3163</v>
      </c>
      <c r="D39" s="0" t="s">
        <v>3164</v>
      </c>
      <c r="E39" s="0" t="s">
        <v>3165</v>
      </c>
      <c r="F39" s="0" t="s">
        <v>3089</v>
      </c>
      <c r="G39" s="0" t="s">
        <v>1749</v>
      </c>
    </row>
    <row customHeight="1" ht="11.25">
      <c r="A40" s="0" t="s">
        <v>16</v>
      </c>
      <c r="B40" s="0" t="s">
        <v>3162</v>
      </c>
      <c r="C40" s="0" t="s">
        <v>3163</v>
      </c>
      <c r="D40" s="0" t="s">
        <v>3166</v>
      </c>
      <c r="E40" s="0" t="s">
        <v>3167</v>
      </c>
      <c r="F40" s="0" t="s">
        <v>3089</v>
      </c>
      <c r="G40" s="0" t="s">
        <v>1754</v>
      </c>
    </row>
    <row customHeight="1" ht="11.25">
      <c r="A41" s="0" t="s">
        <v>16</v>
      </c>
      <c r="B41" s="0" t="s">
        <v>3162</v>
      </c>
      <c r="C41" s="0" t="s">
        <v>3163</v>
      </c>
      <c r="D41" s="0" t="s">
        <v>3162</v>
      </c>
      <c r="E41" s="0" t="s">
        <v>3163</v>
      </c>
      <c r="F41" s="0" t="s">
        <v>3090</v>
      </c>
      <c r="G41" s="0" t="s">
        <v>1758</v>
      </c>
    </row>
    <row customHeight="1" ht="11.25">
      <c r="A42" s="0" t="s">
        <v>16</v>
      </c>
      <c r="B42" s="0" t="s">
        <v>3162</v>
      </c>
      <c r="C42" s="0" t="s">
        <v>3163</v>
      </c>
      <c r="D42" s="0" t="s">
        <v>3168</v>
      </c>
      <c r="E42" s="0" t="s">
        <v>3169</v>
      </c>
      <c r="F42" s="0" t="s">
        <v>3089</v>
      </c>
      <c r="G42" s="0" t="s">
        <v>1761</v>
      </c>
    </row>
    <row customHeight="1" ht="11.25">
      <c r="A43" s="0" t="s">
        <v>16</v>
      </c>
      <c r="B43" s="0" t="s">
        <v>3162</v>
      </c>
      <c r="C43" s="0" t="s">
        <v>3163</v>
      </c>
      <c r="D43" s="0" t="s">
        <v>3170</v>
      </c>
      <c r="E43" s="0" t="s">
        <v>3171</v>
      </c>
      <c r="F43" s="0" t="s">
        <v>3089</v>
      </c>
      <c r="G43" s="0" t="s">
        <v>1768</v>
      </c>
    </row>
    <row customHeight="1" ht="11.25">
      <c r="A44" s="0" t="s">
        <v>16</v>
      </c>
      <c r="B44" s="0" t="s">
        <v>3162</v>
      </c>
      <c r="C44" s="0" t="s">
        <v>3163</v>
      </c>
      <c r="D44" s="0" t="s">
        <v>3172</v>
      </c>
      <c r="E44" s="0" t="s">
        <v>3173</v>
      </c>
      <c r="F44" s="0" t="s">
        <v>3089</v>
      </c>
      <c r="G44" s="0" t="s">
        <v>1777</v>
      </c>
    </row>
    <row customHeight="1" ht="11.25">
      <c r="A45" s="0" t="s">
        <v>16</v>
      </c>
      <c r="B45" s="0" t="s">
        <v>3162</v>
      </c>
      <c r="C45" s="0" t="s">
        <v>3163</v>
      </c>
      <c r="D45" s="0" t="s">
        <v>3174</v>
      </c>
      <c r="E45" s="0" t="s">
        <v>3175</v>
      </c>
      <c r="F45" s="0" t="s">
        <v>3089</v>
      </c>
      <c r="G45" s="0" t="s">
        <v>1782</v>
      </c>
    </row>
    <row customHeight="1" ht="11.25">
      <c r="A46" s="0" t="s">
        <v>16</v>
      </c>
      <c r="B46" s="0" t="s">
        <v>3162</v>
      </c>
      <c r="C46" s="0" t="s">
        <v>3163</v>
      </c>
      <c r="D46" s="0" t="s">
        <v>3176</v>
      </c>
      <c r="E46" s="0" t="s">
        <v>3177</v>
      </c>
      <c r="F46" s="0" t="s">
        <v>3089</v>
      </c>
      <c r="G46" s="0" t="s">
        <v>1786</v>
      </c>
    </row>
    <row customHeight="1" ht="11.25">
      <c r="A47" s="0" t="s">
        <v>16</v>
      </c>
      <c r="B47" s="0" t="s">
        <v>3162</v>
      </c>
      <c r="C47" s="0" t="s">
        <v>3163</v>
      </c>
      <c r="D47" s="0" t="s">
        <v>3178</v>
      </c>
      <c r="E47" s="0" t="s">
        <v>3179</v>
      </c>
      <c r="F47" s="0" t="s">
        <v>3089</v>
      </c>
      <c r="G47" s="0" t="s">
        <v>1792</v>
      </c>
    </row>
    <row customHeight="1" ht="11.25">
      <c r="A48" s="0" t="s">
        <v>16</v>
      </c>
      <c r="B48" s="0" t="s">
        <v>3162</v>
      </c>
      <c r="C48" s="0" t="s">
        <v>3163</v>
      </c>
      <c r="D48" s="0" t="s">
        <v>3180</v>
      </c>
      <c r="E48" s="0" t="s">
        <v>3181</v>
      </c>
      <c r="F48" s="0" t="s">
        <v>3089</v>
      </c>
      <c r="G48" s="0" t="s">
        <v>1797</v>
      </c>
    </row>
    <row customHeight="1" ht="11.25">
      <c r="A49" s="0" t="s">
        <v>16</v>
      </c>
      <c r="B49" s="0" t="s">
        <v>3162</v>
      </c>
      <c r="C49" s="0" t="s">
        <v>3163</v>
      </c>
      <c r="D49" s="0" t="s">
        <v>3182</v>
      </c>
      <c r="E49" s="0" t="s">
        <v>3183</v>
      </c>
      <c r="F49" s="0" t="s">
        <v>3089</v>
      </c>
      <c r="G49" s="0" t="s">
        <v>1800</v>
      </c>
    </row>
    <row customHeight="1" ht="11.25">
      <c r="A50" s="0" t="s">
        <v>16</v>
      </c>
      <c r="B50" s="0" t="s">
        <v>3162</v>
      </c>
      <c r="C50" s="0" t="s">
        <v>3163</v>
      </c>
      <c r="D50" s="0" t="s">
        <v>3184</v>
      </c>
      <c r="E50" s="0" t="s">
        <v>3185</v>
      </c>
      <c r="F50" s="0" t="s">
        <v>3089</v>
      </c>
      <c r="G50" s="0" t="s">
        <v>1804</v>
      </c>
    </row>
    <row customHeight="1" ht="11.25">
      <c r="A51" s="0" t="s">
        <v>16</v>
      </c>
      <c r="B51" s="0" t="s">
        <v>3162</v>
      </c>
      <c r="C51" s="0" t="s">
        <v>3163</v>
      </c>
      <c r="D51" s="0" t="s">
        <v>3186</v>
      </c>
      <c r="E51" s="0" t="s">
        <v>3187</v>
      </c>
      <c r="F51" s="0" t="s">
        <v>3089</v>
      </c>
      <c r="G51" s="0" t="s">
        <v>1808</v>
      </c>
    </row>
    <row customHeight="1" ht="11.25">
      <c r="A52" s="0" t="s">
        <v>16</v>
      </c>
      <c r="B52" s="0" t="s">
        <v>3162</v>
      </c>
      <c r="C52" s="0" t="s">
        <v>3163</v>
      </c>
      <c r="D52" s="0" t="s">
        <v>3188</v>
      </c>
      <c r="E52" s="0" t="s">
        <v>3189</v>
      </c>
      <c r="F52" s="0" t="s">
        <v>3089</v>
      </c>
      <c r="G52" s="0" t="s">
        <v>1812</v>
      </c>
    </row>
    <row customHeight="1" ht="11.25">
      <c r="A53" s="0" t="s">
        <v>16</v>
      </c>
      <c r="B53" s="0" t="s">
        <v>3162</v>
      </c>
      <c r="C53" s="0" t="s">
        <v>3163</v>
      </c>
      <c r="D53" s="0" t="s">
        <v>3190</v>
      </c>
      <c r="E53" s="0" t="s">
        <v>3191</v>
      </c>
      <c r="F53" s="0" t="s">
        <v>3089</v>
      </c>
      <c r="G53" s="0" t="s">
        <v>1814</v>
      </c>
    </row>
    <row customHeight="1" ht="11.25">
      <c r="A54" s="0" t="s">
        <v>16</v>
      </c>
      <c r="B54" s="0" t="s">
        <v>3162</v>
      </c>
      <c r="C54" s="0" t="s">
        <v>3163</v>
      </c>
      <c r="D54" s="0" t="s">
        <v>3192</v>
      </c>
      <c r="E54" s="0" t="s">
        <v>3193</v>
      </c>
      <c r="F54" s="0" t="s">
        <v>3159</v>
      </c>
      <c r="G54" s="0" t="s">
        <v>1817</v>
      </c>
    </row>
    <row customHeight="1" ht="11.25">
      <c r="A55" s="0" t="s">
        <v>16</v>
      </c>
      <c r="B55" s="0" t="s">
        <v>3194</v>
      </c>
      <c r="C55" s="0" t="s">
        <v>3195</v>
      </c>
      <c r="D55" s="0" t="s">
        <v>3196</v>
      </c>
      <c r="E55" s="0" t="s">
        <v>3197</v>
      </c>
      <c r="F55" s="0" t="s">
        <v>3089</v>
      </c>
      <c r="G55" s="0" t="s">
        <v>1822</v>
      </c>
    </row>
    <row customHeight="1" ht="11.25">
      <c r="A56" s="0" t="s">
        <v>16</v>
      </c>
      <c r="B56" s="0" t="s">
        <v>3194</v>
      </c>
      <c r="C56" s="0" t="s">
        <v>3195</v>
      </c>
      <c r="D56" s="0" t="s">
        <v>3194</v>
      </c>
      <c r="E56" s="0" t="s">
        <v>3195</v>
      </c>
      <c r="F56" s="0" t="s">
        <v>3090</v>
      </c>
      <c r="G56" s="0" t="s">
        <v>1825</v>
      </c>
    </row>
    <row customHeight="1" ht="11.25">
      <c r="A57" s="0" t="s">
        <v>16</v>
      </c>
      <c r="B57" s="0" t="s">
        <v>3194</v>
      </c>
      <c r="C57" s="0" t="s">
        <v>3195</v>
      </c>
      <c r="D57" s="0" t="s">
        <v>3198</v>
      </c>
      <c r="E57" s="0" t="s">
        <v>3199</v>
      </c>
      <c r="F57" s="0" t="s">
        <v>3089</v>
      </c>
      <c r="G57" s="0" t="s">
        <v>1828</v>
      </c>
    </row>
    <row customHeight="1" ht="11.25">
      <c r="A58" s="0" t="s">
        <v>16</v>
      </c>
      <c r="B58" s="0" t="s">
        <v>3194</v>
      </c>
      <c r="C58" s="0" t="s">
        <v>3195</v>
      </c>
      <c r="D58" s="0" t="s">
        <v>3200</v>
      </c>
      <c r="E58" s="0" t="s">
        <v>3201</v>
      </c>
      <c r="F58" s="0" t="s">
        <v>3089</v>
      </c>
      <c r="G58" s="0" t="s">
        <v>1831</v>
      </c>
    </row>
    <row customHeight="1" ht="11.25">
      <c r="A59" s="0" t="s">
        <v>16</v>
      </c>
      <c r="B59" s="0" t="s">
        <v>3194</v>
      </c>
      <c r="C59" s="0" t="s">
        <v>3195</v>
      </c>
      <c r="D59" s="0" t="s">
        <v>3202</v>
      </c>
      <c r="E59" s="0" t="s">
        <v>3203</v>
      </c>
      <c r="F59" s="0" t="s">
        <v>3089</v>
      </c>
      <c r="G59" s="0" t="s">
        <v>1835</v>
      </c>
    </row>
    <row customHeight="1" ht="11.25">
      <c r="A60" s="0" t="s">
        <v>16</v>
      </c>
      <c r="B60" s="0" t="s">
        <v>3194</v>
      </c>
      <c r="C60" s="0" t="s">
        <v>3195</v>
      </c>
      <c r="D60" s="0" t="s">
        <v>3204</v>
      </c>
      <c r="E60" s="0" t="s">
        <v>3205</v>
      </c>
      <c r="F60" s="0" t="s">
        <v>3089</v>
      </c>
      <c r="G60" s="0" t="s">
        <v>1838</v>
      </c>
    </row>
    <row customHeight="1" ht="11.25">
      <c r="A61" s="0" t="s">
        <v>16</v>
      </c>
      <c r="B61" s="0" t="s">
        <v>3194</v>
      </c>
      <c r="C61" s="0" t="s">
        <v>3195</v>
      </c>
      <c r="D61" s="0" t="s">
        <v>3206</v>
      </c>
      <c r="E61" s="0" t="s">
        <v>3207</v>
      </c>
      <c r="F61" s="0" t="s">
        <v>3089</v>
      </c>
      <c r="G61" s="0" t="s">
        <v>3208</v>
      </c>
    </row>
    <row customHeight="1" ht="11.25">
      <c r="A62" s="0" t="s">
        <v>16</v>
      </c>
      <c r="B62" s="0" t="s">
        <v>3194</v>
      </c>
      <c r="C62" s="0" t="s">
        <v>3195</v>
      </c>
      <c r="D62" s="0" t="s">
        <v>3209</v>
      </c>
      <c r="E62" s="0" t="s">
        <v>3210</v>
      </c>
      <c r="F62" s="0" t="s">
        <v>3089</v>
      </c>
      <c r="G62" s="0" t="s">
        <v>3211</v>
      </c>
    </row>
    <row customHeight="1" ht="11.25">
      <c r="A63" s="0" t="s">
        <v>16</v>
      </c>
      <c r="B63" s="0" t="s">
        <v>3194</v>
      </c>
      <c r="C63" s="0" t="s">
        <v>3195</v>
      </c>
      <c r="D63" s="0" t="s">
        <v>3212</v>
      </c>
      <c r="E63" s="0" t="s">
        <v>3213</v>
      </c>
      <c r="F63" s="0" t="s">
        <v>3214</v>
      </c>
      <c r="G63" s="0" t="s">
        <v>3215</v>
      </c>
    </row>
    <row customHeight="1" ht="11.25">
      <c r="A64" s="0" t="s">
        <v>16</v>
      </c>
      <c r="B64" s="0" t="s">
        <v>3216</v>
      </c>
      <c r="C64" s="0" t="s">
        <v>3217</v>
      </c>
      <c r="D64" s="0" t="s">
        <v>3218</v>
      </c>
      <c r="E64" s="0" t="s">
        <v>3219</v>
      </c>
      <c r="F64" s="0" t="s">
        <v>3089</v>
      </c>
      <c r="G64" s="0" t="s">
        <v>3220</v>
      </c>
    </row>
    <row customHeight="1" ht="11.25">
      <c r="A65" s="0" t="s">
        <v>16</v>
      </c>
      <c r="B65" s="0" t="s">
        <v>3216</v>
      </c>
      <c r="C65" s="0" t="s">
        <v>3217</v>
      </c>
      <c r="D65" s="0" t="s">
        <v>3221</v>
      </c>
      <c r="E65" s="0" t="s">
        <v>3222</v>
      </c>
      <c r="F65" s="0" t="s">
        <v>3089</v>
      </c>
      <c r="G65" s="0" t="s">
        <v>3223</v>
      </c>
    </row>
    <row customHeight="1" ht="11.25">
      <c r="A66" s="0" t="s">
        <v>16</v>
      </c>
      <c r="B66" s="0" t="s">
        <v>3216</v>
      </c>
      <c r="C66" s="0" t="s">
        <v>3217</v>
      </c>
      <c r="D66" s="0" t="s">
        <v>3224</v>
      </c>
      <c r="E66" s="0" t="s">
        <v>3225</v>
      </c>
      <c r="F66" s="0" t="s">
        <v>3089</v>
      </c>
      <c r="G66" s="0" t="s">
        <v>3226</v>
      </c>
    </row>
    <row customHeight="1" ht="11.25">
      <c r="A67" s="0" t="s">
        <v>16</v>
      </c>
      <c r="B67" s="0" t="s">
        <v>3216</v>
      </c>
      <c r="C67" s="0" t="s">
        <v>3217</v>
      </c>
      <c r="D67" s="0" t="s">
        <v>3227</v>
      </c>
      <c r="E67" s="0" t="s">
        <v>3228</v>
      </c>
      <c r="F67" s="0" t="s">
        <v>3089</v>
      </c>
      <c r="G67" s="0" t="s">
        <v>2157</v>
      </c>
    </row>
    <row customHeight="1" ht="11.25">
      <c r="A68" s="0" t="s">
        <v>16</v>
      </c>
      <c r="B68" s="0" t="s">
        <v>3216</v>
      </c>
      <c r="C68" s="0" t="s">
        <v>3217</v>
      </c>
      <c r="D68" s="0" t="s">
        <v>3216</v>
      </c>
      <c r="E68" s="0" t="s">
        <v>3217</v>
      </c>
      <c r="F68" s="0" t="s">
        <v>3090</v>
      </c>
      <c r="G68" s="0" t="s">
        <v>3229</v>
      </c>
    </row>
    <row customHeight="1" ht="11.25">
      <c r="A69" s="0" t="s">
        <v>16</v>
      </c>
      <c r="B69" s="0" t="s">
        <v>3216</v>
      </c>
      <c r="C69" s="0" t="s">
        <v>3217</v>
      </c>
      <c r="D69" s="0" t="s">
        <v>3230</v>
      </c>
      <c r="E69" s="0" t="s">
        <v>3231</v>
      </c>
      <c r="F69" s="0" t="s">
        <v>3089</v>
      </c>
      <c r="G69" s="0" t="s">
        <v>2360</v>
      </c>
    </row>
    <row customHeight="1" ht="11.25">
      <c r="A70" s="0" t="s">
        <v>16</v>
      </c>
      <c r="B70" s="0" t="s">
        <v>3216</v>
      </c>
      <c r="C70" s="0" t="s">
        <v>3217</v>
      </c>
      <c r="D70" s="0" t="s">
        <v>3232</v>
      </c>
      <c r="E70" s="0" t="s">
        <v>3233</v>
      </c>
      <c r="F70" s="0" t="s">
        <v>3089</v>
      </c>
      <c r="G70" s="0" t="s">
        <v>3234</v>
      </c>
    </row>
    <row customHeight="1" ht="11.25">
      <c r="A71" s="0" t="s">
        <v>16</v>
      </c>
      <c r="B71" s="0" t="s">
        <v>3216</v>
      </c>
      <c r="C71" s="0" t="s">
        <v>3217</v>
      </c>
      <c r="D71" s="0" t="s">
        <v>3235</v>
      </c>
      <c r="E71" s="0" t="s">
        <v>3236</v>
      </c>
      <c r="F71" s="0" t="s">
        <v>3089</v>
      </c>
      <c r="G71" s="0" t="s">
        <v>3237</v>
      </c>
    </row>
    <row customHeight="1" ht="11.25">
      <c r="A72" s="0" t="s">
        <v>16</v>
      </c>
      <c r="B72" s="0" t="s">
        <v>3216</v>
      </c>
      <c r="C72" s="0" t="s">
        <v>3217</v>
      </c>
      <c r="D72" s="0" t="s">
        <v>3238</v>
      </c>
      <c r="E72" s="0" t="s">
        <v>3239</v>
      </c>
      <c r="F72" s="0" t="s">
        <v>3089</v>
      </c>
      <c r="G72" s="0" t="s">
        <v>3240</v>
      </c>
    </row>
    <row customHeight="1" ht="11.25">
      <c r="A73" s="0" t="s">
        <v>16</v>
      </c>
      <c r="B73" s="0" t="s">
        <v>3216</v>
      </c>
      <c r="C73" s="0" t="s">
        <v>3217</v>
      </c>
      <c r="D73" s="0" t="s">
        <v>3241</v>
      </c>
      <c r="E73" s="0" t="s">
        <v>3242</v>
      </c>
      <c r="F73" s="0" t="s">
        <v>3089</v>
      </c>
      <c r="G73" s="0" t="s">
        <v>3243</v>
      </c>
    </row>
    <row customHeight="1" ht="11.25">
      <c r="A74" s="0" t="s">
        <v>16</v>
      </c>
      <c r="B74" s="0" t="s">
        <v>3216</v>
      </c>
      <c r="C74" s="0" t="s">
        <v>3217</v>
      </c>
      <c r="D74" s="0" t="s">
        <v>173</v>
      </c>
      <c r="E74" s="0" t="s">
        <v>3244</v>
      </c>
      <c r="F74" s="0" t="s">
        <v>3089</v>
      </c>
      <c r="G74" s="0" t="s">
        <v>3245</v>
      </c>
    </row>
    <row customHeight="1" ht="11.25">
      <c r="A75" s="0" t="s">
        <v>16</v>
      </c>
      <c r="B75" s="0" t="s">
        <v>3216</v>
      </c>
      <c r="C75" s="0" t="s">
        <v>3217</v>
      </c>
      <c r="D75" s="0" t="s">
        <v>3246</v>
      </c>
      <c r="E75" s="0" t="s">
        <v>3247</v>
      </c>
      <c r="F75" s="0" t="s">
        <v>3089</v>
      </c>
      <c r="G75" s="0" t="s">
        <v>3248</v>
      </c>
    </row>
    <row customHeight="1" ht="11.25">
      <c r="A76" s="0" t="s">
        <v>16</v>
      </c>
      <c r="B76" s="0" t="s">
        <v>3216</v>
      </c>
      <c r="C76" s="0" t="s">
        <v>3217</v>
      </c>
      <c r="D76" s="0" t="s">
        <v>3249</v>
      </c>
      <c r="E76" s="0" t="s">
        <v>3250</v>
      </c>
      <c r="F76" s="0" t="s">
        <v>3089</v>
      </c>
      <c r="G76" s="0" t="s">
        <v>3251</v>
      </c>
    </row>
    <row customHeight="1" ht="11.25">
      <c r="A77" s="0" t="s">
        <v>16</v>
      </c>
      <c r="B77" s="0" t="s">
        <v>3216</v>
      </c>
      <c r="C77" s="0" t="s">
        <v>3217</v>
      </c>
      <c r="D77" s="0" t="s">
        <v>3252</v>
      </c>
      <c r="E77" s="0" t="s">
        <v>3253</v>
      </c>
      <c r="F77" s="0" t="s">
        <v>3159</v>
      </c>
      <c r="G77" s="0" t="s">
        <v>3254</v>
      </c>
    </row>
    <row customHeight="1" ht="11.25">
      <c r="A78" s="0" t="s">
        <v>16</v>
      </c>
      <c r="B78" s="0" t="s">
        <v>3255</v>
      </c>
      <c r="C78" s="0" t="s">
        <v>3256</v>
      </c>
      <c r="D78" s="0" t="s">
        <v>3257</v>
      </c>
      <c r="E78" s="0" t="s">
        <v>3258</v>
      </c>
      <c r="F78" s="0" t="s">
        <v>3089</v>
      </c>
      <c r="G78" s="0" t="s">
        <v>3259</v>
      </c>
    </row>
    <row customHeight="1" ht="11.25">
      <c r="A79" s="0" t="s">
        <v>16</v>
      </c>
      <c r="B79" s="0" t="s">
        <v>3255</v>
      </c>
      <c r="C79" s="0" t="s">
        <v>3256</v>
      </c>
      <c r="D79" s="0" t="s">
        <v>3260</v>
      </c>
      <c r="E79" s="0" t="s">
        <v>3261</v>
      </c>
      <c r="F79" s="0" t="s">
        <v>3089</v>
      </c>
      <c r="G79" s="0" t="s">
        <v>3262</v>
      </c>
    </row>
    <row customHeight="1" ht="11.25">
      <c r="A80" s="0" t="s">
        <v>16</v>
      </c>
      <c r="B80" s="0" t="s">
        <v>3255</v>
      </c>
      <c r="C80" s="0" t="s">
        <v>3256</v>
      </c>
      <c r="D80" s="0" t="s">
        <v>3263</v>
      </c>
      <c r="E80" s="0" t="s">
        <v>3264</v>
      </c>
      <c r="F80" s="0" t="s">
        <v>3089</v>
      </c>
      <c r="G80" s="0" t="s">
        <v>3265</v>
      </c>
    </row>
    <row customHeight="1" ht="11.25">
      <c r="A81" s="0" t="s">
        <v>16</v>
      </c>
      <c r="B81" s="0" t="s">
        <v>3255</v>
      </c>
      <c r="C81" s="0" t="s">
        <v>3256</v>
      </c>
      <c r="D81" s="0" t="s">
        <v>3266</v>
      </c>
      <c r="E81" s="0" t="s">
        <v>3267</v>
      </c>
      <c r="F81" s="0" t="s">
        <v>3089</v>
      </c>
      <c r="G81" s="0" t="s">
        <v>3268</v>
      </c>
    </row>
    <row customHeight="1" ht="11.25">
      <c r="A82" s="0" t="s">
        <v>16</v>
      </c>
      <c r="B82" s="0" t="s">
        <v>3255</v>
      </c>
      <c r="C82" s="0" t="s">
        <v>3256</v>
      </c>
      <c r="D82" s="0" t="s">
        <v>3269</v>
      </c>
      <c r="E82" s="0" t="s">
        <v>3270</v>
      </c>
      <c r="F82" s="0" t="s">
        <v>3089</v>
      </c>
      <c r="G82" s="0" t="s">
        <v>3271</v>
      </c>
    </row>
    <row customHeight="1" ht="11.25">
      <c r="A83" s="0" t="s">
        <v>16</v>
      </c>
      <c r="B83" s="0" t="s">
        <v>3255</v>
      </c>
      <c r="C83" s="0" t="s">
        <v>3256</v>
      </c>
      <c r="D83" s="0" t="s">
        <v>3255</v>
      </c>
      <c r="E83" s="0" t="s">
        <v>3256</v>
      </c>
      <c r="F83" s="0" t="s">
        <v>3090</v>
      </c>
      <c r="G83" s="0" t="s">
        <v>3272</v>
      </c>
    </row>
    <row customHeight="1" ht="11.25">
      <c r="A84" s="0" t="s">
        <v>16</v>
      </c>
      <c r="B84" s="0" t="s">
        <v>3255</v>
      </c>
      <c r="C84" s="0" t="s">
        <v>3256</v>
      </c>
      <c r="D84" s="0" t="s">
        <v>3273</v>
      </c>
      <c r="E84" s="0" t="s">
        <v>3274</v>
      </c>
      <c r="F84" s="0" t="s">
        <v>3089</v>
      </c>
      <c r="G84" s="0" t="s">
        <v>3275</v>
      </c>
    </row>
    <row customHeight="1" ht="11.25">
      <c r="A85" s="0" t="s">
        <v>16</v>
      </c>
      <c r="B85" s="0" t="s">
        <v>3255</v>
      </c>
      <c r="C85" s="0" t="s">
        <v>3256</v>
      </c>
      <c r="D85" s="0" t="s">
        <v>3276</v>
      </c>
      <c r="E85" s="0" t="s">
        <v>3277</v>
      </c>
      <c r="F85" s="0" t="s">
        <v>3089</v>
      </c>
      <c r="G85" s="0" t="s">
        <v>3278</v>
      </c>
    </row>
    <row customHeight="1" ht="11.25">
      <c r="A86" s="0" t="s">
        <v>16</v>
      </c>
      <c r="B86" s="0" t="s">
        <v>3255</v>
      </c>
      <c r="C86" s="0" t="s">
        <v>3256</v>
      </c>
      <c r="D86" s="0" t="s">
        <v>3279</v>
      </c>
      <c r="E86" s="0" t="s">
        <v>3280</v>
      </c>
      <c r="F86" s="0" t="s">
        <v>3089</v>
      </c>
      <c r="G86" s="0" t="s">
        <v>3281</v>
      </c>
    </row>
    <row customHeight="1" ht="11.25">
      <c r="A87" s="0" t="s">
        <v>16</v>
      </c>
      <c r="B87" s="0" t="s">
        <v>3255</v>
      </c>
      <c r="C87" s="0" t="s">
        <v>3256</v>
      </c>
      <c r="D87" s="0" t="s">
        <v>3282</v>
      </c>
      <c r="E87" s="0" t="s">
        <v>3283</v>
      </c>
      <c r="F87" s="0" t="s">
        <v>3089</v>
      </c>
      <c r="G87" s="0" t="s">
        <v>3284</v>
      </c>
    </row>
    <row customHeight="1" ht="11.25">
      <c r="A88" s="0" t="s">
        <v>16</v>
      </c>
      <c r="B88" s="0" t="s">
        <v>3255</v>
      </c>
      <c r="C88" s="0" t="s">
        <v>3256</v>
      </c>
      <c r="D88" s="0" t="s">
        <v>3285</v>
      </c>
      <c r="E88" s="0" t="s">
        <v>3286</v>
      </c>
      <c r="F88" s="0" t="s">
        <v>3159</v>
      </c>
      <c r="G88" s="0" t="s">
        <v>3287</v>
      </c>
    </row>
    <row customHeight="1" ht="11.25">
      <c r="A89" s="0" t="s">
        <v>16</v>
      </c>
      <c r="B89" s="0" t="s">
        <v>3288</v>
      </c>
      <c r="C89" s="0" t="s">
        <v>3289</v>
      </c>
      <c r="D89" s="0" t="s">
        <v>3135</v>
      </c>
      <c r="E89" s="0" t="s">
        <v>3290</v>
      </c>
      <c r="F89" s="0" t="s">
        <v>3089</v>
      </c>
      <c r="G89" s="0" t="s">
        <v>3291</v>
      </c>
    </row>
    <row customHeight="1" ht="11.25">
      <c r="A90" s="0" t="s">
        <v>16</v>
      </c>
      <c r="B90" s="0" t="s">
        <v>3288</v>
      </c>
      <c r="C90" s="0" t="s">
        <v>3289</v>
      </c>
      <c r="D90" s="0" t="s">
        <v>3292</v>
      </c>
      <c r="E90" s="0" t="s">
        <v>3293</v>
      </c>
      <c r="F90" s="0" t="s">
        <v>3089</v>
      </c>
      <c r="G90" s="0" t="s">
        <v>3294</v>
      </c>
    </row>
    <row customHeight="1" ht="11.25">
      <c r="A91" s="0" t="s">
        <v>16</v>
      </c>
      <c r="B91" s="0" t="s">
        <v>3288</v>
      </c>
      <c r="C91" s="0" t="s">
        <v>3289</v>
      </c>
      <c r="D91" s="0" t="s">
        <v>3295</v>
      </c>
      <c r="E91" s="0" t="s">
        <v>3296</v>
      </c>
      <c r="F91" s="0" t="s">
        <v>3089</v>
      </c>
      <c r="G91" s="0" t="s">
        <v>3297</v>
      </c>
    </row>
    <row customHeight="1" ht="11.25">
      <c r="A92" s="0" t="s">
        <v>16</v>
      </c>
      <c r="B92" s="0" t="s">
        <v>3288</v>
      </c>
      <c r="C92" s="0" t="s">
        <v>3289</v>
      </c>
      <c r="D92" s="0" t="s">
        <v>3298</v>
      </c>
      <c r="E92" s="0" t="s">
        <v>3299</v>
      </c>
      <c r="F92" s="0" t="s">
        <v>3089</v>
      </c>
      <c r="G92" s="0" t="s">
        <v>3300</v>
      </c>
    </row>
    <row customHeight="1" ht="11.25">
      <c r="A93" s="0" t="s">
        <v>16</v>
      </c>
      <c r="B93" s="0" t="s">
        <v>3288</v>
      </c>
      <c r="C93" s="0" t="s">
        <v>3289</v>
      </c>
      <c r="D93" s="0" t="s">
        <v>3301</v>
      </c>
      <c r="E93" s="0" t="s">
        <v>3302</v>
      </c>
      <c r="F93" s="0" t="s">
        <v>3089</v>
      </c>
      <c r="G93" s="0" t="s">
        <v>3303</v>
      </c>
    </row>
    <row customHeight="1" ht="11.25">
      <c r="A94" s="0" t="s">
        <v>16</v>
      </c>
      <c r="B94" s="0" t="s">
        <v>3288</v>
      </c>
      <c r="C94" s="0" t="s">
        <v>3289</v>
      </c>
      <c r="D94" s="0" t="s">
        <v>3288</v>
      </c>
      <c r="E94" s="0" t="s">
        <v>3289</v>
      </c>
      <c r="F94" s="0" t="s">
        <v>3090</v>
      </c>
      <c r="G94" s="0" t="s">
        <v>3304</v>
      </c>
    </row>
    <row customHeight="1" ht="11.25">
      <c r="A95" s="0" t="s">
        <v>16</v>
      </c>
      <c r="B95" s="0" t="s">
        <v>3288</v>
      </c>
      <c r="C95" s="0" t="s">
        <v>3289</v>
      </c>
      <c r="D95" s="0" t="s">
        <v>3305</v>
      </c>
      <c r="E95" s="0" t="s">
        <v>3306</v>
      </c>
      <c r="F95" s="0" t="s">
        <v>3089</v>
      </c>
      <c r="G95" s="0" t="s">
        <v>3307</v>
      </c>
    </row>
    <row customHeight="1" ht="11.25">
      <c r="A96" s="0" t="s">
        <v>16</v>
      </c>
      <c r="B96" s="0" t="s">
        <v>3288</v>
      </c>
      <c r="C96" s="0" t="s">
        <v>3289</v>
      </c>
      <c r="D96" s="0" t="s">
        <v>3308</v>
      </c>
      <c r="E96" s="0" t="s">
        <v>3309</v>
      </c>
      <c r="F96" s="0" t="s">
        <v>3089</v>
      </c>
      <c r="G96" s="0" t="s">
        <v>3310</v>
      </c>
    </row>
    <row customHeight="1" ht="11.25">
      <c r="A97" s="0" t="s">
        <v>16</v>
      </c>
      <c r="B97" s="0" t="s">
        <v>3288</v>
      </c>
      <c r="C97" s="0" t="s">
        <v>3289</v>
      </c>
      <c r="D97" s="0" t="s">
        <v>3311</v>
      </c>
      <c r="E97" s="0" t="s">
        <v>3312</v>
      </c>
      <c r="F97" s="0" t="s">
        <v>3089</v>
      </c>
      <c r="G97" s="0" t="s">
        <v>3313</v>
      </c>
    </row>
    <row customHeight="1" ht="11.25">
      <c r="A98" s="0" t="s">
        <v>16</v>
      </c>
      <c r="B98" s="0" t="s">
        <v>3288</v>
      </c>
      <c r="C98" s="0" t="s">
        <v>3289</v>
      </c>
      <c r="D98" s="0" t="s">
        <v>3314</v>
      </c>
      <c r="E98" s="0" t="s">
        <v>3315</v>
      </c>
      <c r="F98" s="0" t="s">
        <v>3089</v>
      </c>
      <c r="G98" s="0" t="s">
        <v>3316</v>
      </c>
    </row>
    <row customHeight="1" ht="11.25">
      <c r="A99" s="0" t="s">
        <v>16</v>
      </c>
      <c r="B99" s="0" t="s">
        <v>3288</v>
      </c>
      <c r="C99" s="0" t="s">
        <v>3289</v>
      </c>
      <c r="D99" s="0" t="s">
        <v>3317</v>
      </c>
      <c r="E99" s="0" t="s">
        <v>3318</v>
      </c>
      <c r="F99" s="0" t="s">
        <v>3089</v>
      </c>
      <c r="G99" s="0" t="s">
        <v>3319</v>
      </c>
    </row>
    <row customHeight="1" ht="11.25">
      <c r="A100" s="0" t="s">
        <v>16</v>
      </c>
      <c r="B100" s="0" t="s">
        <v>3288</v>
      </c>
      <c r="C100" s="0" t="s">
        <v>3289</v>
      </c>
      <c r="D100" s="0" t="s">
        <v>3320</v>
      </c>
      <c r="E100" s="0" t="s">
        <v>3321</v>
      </c>
      <c r="F100" s="0" t="s">
        <v>3089</v>
      </c>
      <c r="G100" s="0" t="s">
        <v>3322</v>
      </c>
    </row>
    <row customHeight="1" ht="11.25">
      <c r="A101" s="0" t="s">
        <v>16</v>
      </c>
      <c r="B101" s="0" t="s">
        <v>3288</v>
      </c>
      <c r="C101" s="0" t="s">
        <v>3289</v>
      </c>
      <c r="D101" s="0" t="s">
        <v>3323</v>
      </c>
      <c r="E101" s="0" t="s">
        <v>3324</v>
      </c>
      <c r="F101" s="0" t="s">
        <v>3089</v>
      </c>
      <c r="G101" s="0" t="s">
        <v>3325</v>
      </c>
    </row>
    <row customHeight="1" ht="11.25">
      <c r="A102" s="0" t="s">
        <v>16</v>
      </c>
      <c r="B102" s="0" t="s">
        <v>3288</v>
      </c>
      <c r="C102" s="0" t="s">
        <v>3289</v>
      </c>
      <c r="D102" s="0" t="s">
        <v>3326</v>
      </c>
      <c r="E102" s="0" t="s">
        <v>3327</v>
      </c>
      <c r="F102" s="0" t="s">
        <v>3089</v>
      </c>
      <c r="G102" s="0" t="s">
        <v>3328</v>
      </c>
    </row>
    <row customHeight="1" ht="11.25">
      <c r="A103" s="0" t="s">
        <v>16</v>
      </c>
      <c r="B103" s="0" t="s">
        <v>3288</v>
      </c>
      <c r="C103" s="0" t="s">
        <v>3289</v>
      </c>
      <c r="D103" s="0" t="s">
        <v>3329</v>
      </c>
      <c r="E103" s="0" t="s">
        <v>3330</v>
      </c>
      <c r="F103" s="0" t="s">
        <v>3159</v>
      </c>
      <c r="G103" s="0" t="s">
        <v>3331</v>
      </c>
    </row>
    <row customHeight="1" ht="11.25">
      <c r="A104" s="0" t="s">
        <v>16</v>
      </c>
      <c r="B104" s="0" t="s">
        <v>3288</v>
      </c>
      <c r="C104" s="0" t="s">
        <v>3289</v>
      </c>
      <c r="D104" s="0" t="s">
        <v>3332</v>
      </c>
      <c r="E104" s="0" t="s">
        <v>3333</v>
      </c>
      <c r="F104" s="0" t="s">
        <v>3159</v>
      </c>
      <c r="G104" s="0" t="s">
        <v>3334</v>
      </c>
    </row>
    <row customHeight="1" ht="11.25">
      <c r="A105" s="0" t="s">
        <v>16</v>
      </c>
      <c r="B105" s="0" t="s">
        <v>3288</v>
      </c>
      <c r="C105" s="0" t="s">
        <v>3289</v>
      </c>
      <c r="D105" s="0" t="s">
        <v>3335</v>
      </c>
      <c r="E105" s="0" t="s">
        <v>3336</v>
      </c>
      <c r="F105" s="0" t="s">
        <v>3159</v>
      </c>
      <c r="G105" s="0" t="s">
        <v>3337</v>
      </c>
    </row>
    <row customHeight="1" ht="11.25">
      <c r="A106" s="0" t="s">
        <v>16</v>
      </c>
      <c r="B106" s="0" t="s">
        <v>3338</v>
      </c>
      <c r="C106" s="0" t="s">
        <v>3339</v>
      </c>
      <c r="D106" s="0" t="s">
        <v>3340</v>
      </c>
      <c r="E106" s="0" t="s">
        <v>3341</v>
      </c>
      <c r="F106" s="0" t="s">
        <v>3089</v>
      </c>
      <c r="G106" s="0" t="s">
        <v>3342</v>
      </c>
    </row>
    <row customHeight="1" ht="11.25">
      <c r="A107" s="0" t="s">
        <v>16</v>
      </c>
      <c r="B107" s="0" t="s">
        <v>3338</v>
      </c>
      <c r="C107" s="0" t="s">
        <v>3339</v>
      </c>
      <c r="D107" s="0" t="s">
        <v>3343</v>
      </c>
      <c r="E107" s="0" t="s">
        <v>3344</v>
      </c>
      <c r="F107" s="0" t="s">
        <v>3089</v>
      </c>
      <c r="G107" s="0" t="s">
        <v>3345</v>
      </c>
    </row>
    <row customHeight="1" ht="11.25">
      <c r="A108" s="0" t="s">
        <v>16</v>
      </c>
      <c r="B108" s="0" t="s">
        <v>3338</v>
      </c>
      <c r="C108" s="0" t="s">
        <v>3339</v>
      </c>
      <c r="D108" s="0" t="s">
        <v>3346</v>
      </c>
      <c r="E108" s="0" t="s">
        <v>3347</v>
      </c>
      <c r="F108" s="0" t="s">
        <v>3089</v>
      </c>
      <c r="G108" s="0" t="s">
        <v>3348</v>
      </c>
    </row>
    <row customHeight="1" ht="11.25">
      <c r="A109" s="0" t="s">
        <v>16</v>
      </c>
      <c r="B109" s="0" t="s">
        <v>3338</v>
      </c>
      <c r="C109" s="0" t="s">
        <v>3339</v>
      </c>
      <c r="D109" s="0" t="s">
        <v>3338</v>
      </c>
      <c r="E109" s="0" t="s">
        <v>3339</v>
      </c>
      <c r="F109" s="0" t="s">
        <v>3090</v>
      </c>
      <c r="G109" s="0" t="s">
        <v>3349</v>
      </c>
    </row>
    <row customHeight="1" ht="11.25">
      <c r="A110" s="0" t="s">
        <v>16</v>
      </c>
      <c r="B110" s="0" t="s">
        <v>3338</v>
      </c>
      <c r="C110" s="0" t="s">
        <v>3339</v>
      </c>
      <c r="D110" s="0" t="s">
        <v>3350</v>
      </c>
      <c r="E110" s="0" t="s">
        <v>3351</v>
      </c>
      <c r="F110" s="0" t="s">
        <v>3089</v>
      </c>
      <c r="G110" s="0" t="s">
        <v>3352</v>
      </c>
    </row>
    <row customHeight="1" ht="11.25">
      <c r="A111" s="0" t="s">
        <v>16</v>
      </c>
      <c r="B111" s="0" t="s">
        <v>3338</v>
      </c>
      <c r="C111" s="0" t="s">
        <v>3339</v>
      </c>
      <c r="D111" s="0" t="s">
        <v>3353</v>
      </c>
      <c r="E111" s="0" t="s">
        <v>3354</v>
      </c>
      <c r="F111" s="0" t="s">
        <v>3089</v>
      </c>
      <c r="G111" s="0" t="s">
        <v>3355</v>
      </c>
    </row>
    <row customHeight="1" ht="11.25">
      <c r="A112" s="0" t="s">
        <v>16</v>
      </c>
      <c r="B112" s="0" t="s">
        <v>3338</v>
      </c>
      <c r="C112" s="0" t="s">
        <v>3339</v>
      </c>
      <c r="D112" s="0" t="s">
        <v>3356</v>
      </c>
      <c r="E112" s="0" t="s">
        <v>3357</v>
      </c>
      <c r="F112" s="0" t="s">
        <v>3089</v>
      </c>
      <c r="G112" s="0" t="s">
        <v>3358</v>
      </c>
    </row>
    <row customHeight="1" ht="11.25">
      <c r="A113" s="0" t="s">
        <v>16</v>
      </c>
      <c r="B113" s="0" t="s">
        <v>3338</v>
      </c>
      <c r="C113" s="0" t="s">
        <v>3339</v>
      </c>
      <c r="D113" s="0" t="s">
        <v>3359</v>
      </c>
      <c r="E113" s="0" t="s">
        <v>3360</v>
      </c>
      <c r="F113" s="0" t="s">
        <v>3089</v>
      </c>
      <c r="G113" s="0" t="s">
        <v>3361</v>
      </c>
    </row>
    <row customHeight="1" ht="11.25">
      <c r="A114" s="0" t="s">
        <v>16</v>
      </c>
      <c r="B114" s="0" t="s">
        <v>3338</v>
      </c>
      <c r="C114" s="0" t="s">
        <v>3339</v>
      </c>
      <c r="D114" s="0" t="s">
        <v>3362</v>
      </c>
      <c r="E114" s="0" t="s">
        <v>3363</v>
      </c>
      <c r="F114" s="0" t="s">
        <v>3089</v>
      </c>
      <c r="G114" s="0" t="s">
        <v>3364</v>
      </c>
    </row>
    <row customHeight="1" ht="11.25">
      <c r="A115" s="0" t="s">
        <v>16</v>
      </c>
      <c r="B115" s="0" t="s">
        <v>3338</v>
      </c>
      <c r="C115" s="0" t="s">
        <v>3339</v>
      </c>
      <c r="D115" s="0" t="s">
        <v>3365</v>
      </c>
      <c r="E115" s="0" t="s">
        <v>3366</v>
      </c>
      <c r="F115" s="0" t="s">
        <v>3089</v>
      </c>
      <c r="G115" s="0" t="s">
        <v>3367</v>
      </c>
    </row>
    <row customHeight="1" ht="11.25">
      <c r="A116" s="0" t="s">
        <v>16</v>
      </c>
      <c r="B116" s="0" t="s">
        <v>3338</v>
      </c>
      <c r="C116" s="0" t="s">
        <v>3339</v>
      </c>
      <c r="D116" s="0" t="s">
        <v>3368</v>
      </c>
      <c r="E116" s="0" t="s">
        <v>3369</v>
      </c>
      <c r="F116" s="0" t="s">
        <v>3159</v>
      </c>
      <c r="G116" s="0" t="s">
        <v>3370</v>
      </c>
    </row>
    <row customHeight="1" ht="11.25">
      <c r="A117" s="0" t="s">
        <v>16</v>
      </c>
      <c r="B117" s="0" t="s">
        <v>3371</v>
      </c>
      <c r="C117" s="0" t="s">
        <v>3372</v>
      </c>
      <c r="D117" s="0" t="s">
        <v>3373</v>
      </c>
      <c r="E117" s="0" t="s">
        <v>3374</v>
      </c>
      <c r="F117" s="0" t="s">
        <v>3089</v>
      </c>
      <c r="G117" s="0" t="s">
        <v>3375</v>
      </c>
    </row>
    <row customHeight="1" ht="11.25">
      <c r="A118" s="0" t="s">
        <v>16</v>
      </c>
      <c r="B118" s="0" t="s">
        <v>3371</v>
      </c>
      <c r="C118" s="0" t="s">
        <v>3372</v>
      </c>
      <c r="D118" s="0" t="s">
        <v>3376</v>
      </c>
      <c r="E118" s="0" t="s">
        <v>3377</v>
      </c>
      <c r="F118" s="0" t="s">
        <v>3089</v>
      </c>
      <c r="G118" s="0" t="s">
        <v>3378</v>
      </c>
    </row>
    <row customHeight="1" ht="11.25">
      <c r="A119" s="0" t="s">
        <v>16</v>
      </c>
      <c r="B119" s="0" t="s">
        <v>3371</v>
      </c>
      <c r="C119" s="0" t="s">
        <v>3372</v>
      </c>
      <c r="D119" s="0" t="s">
        <v>3371</v>
      </c>
      <c r="E119" s="0" t="s">
        <v>3372</v>
      </c>
      <c r="F119" s="0" t="s">
        <v>3090</v>
      </c>
      <c r="G119" s="0" t="s">
        <v>3379</v>
      </c>
    </row>
    <row customHeight="1" ht="11.25">
      <c r="A120" s="0" t="s">
        <v>16</v>
      </c>
      <c r="B120" s="0" t="s">
        <v>3371</v>
      </c>
      <c r="C120" s="0" t="s">
        <v>3372</v>
      </c>
      <c r="D120" s="0" t="s">
        <v>3380</v>
      </c>
      <c r="E120" s="0" t="s">
        <v>3381</v>
      </c>
      <c r="F120" s="0" t="s">
        <v>3089</v>
      </c>
      <c r="G120" s="0" t="s">
        <v>3382</v>
      </c>
    </row>
    <row customHeight="1" ht="11.25">
      <c r="A121" s="0" t="s">
        <v>16</v>
      </c>
      <c r="B121" s="0" t="s">
        <v>3371</v>
      </c>
      <c r="C121" s="0" t="s">
        <v>3372</v>
      </c>
      <c r="D121" s="0" t="s">
        <v>3123</v>
      </c>
      <c r="E121" s="0" t="s">
        <v>3383</v>
      </c>
      <c r="F121" s="0" t="s">
        <v>3089</v>
      </c>
      <c r="G121" s="0" t="s">
        <v>3384</v>
      </c>
    </row>
    <row customHeight="1" ht="11.25">
      <c r="A122" s="0" t="s">
        <v>16</v>
      </c>
      <c r="B122" s="0" t="s">
        <v>3371</v>
      </c>
      <c r="C122" s="0" t="s">
        <v>3372</v>
      </c>
      <c r="D122" s="0" t="s">
        <v>3385</v>
      </c>
      <c r="E122" s="0" t="s">
        <v>3386</v>
      </c>
      <c r="F122" s="0" t="s">
        <v>3089</v>
      </c>
      <c r="G122" s="0" t="s">
        <v>3387</v>
      </c>
    </row>
    <row customHeight="1" ht="11.25">
      <c r="A123" s="0" t="s">
        <v>16</v>
      </c>
      <c r="B123" s="0" t="s">
        <v>3371</v>
      </c>
      <c r="C123" s="0" t="s">
        <v>3372</v>
      </c>
      <c r="D123" s="0" t="s">
        <v>3388</v>
      </c>
      <c r="E123" s="0" t="s">
        <v>3389</v>
      </c>
      <c r="F123" s="0" t="s">
        <v>3089</v>
      </c>
      <c r="G123" s="0" t="s">
        <v>3390</v>
      </c>
    </row>
    <row customHeight="1" ht="11.25">
      <c r="A124" s="0" t="s">
        <v>16</v>
      </c>
      <c r="B124" s="0" t="s">
        <v>3371</v>
      </c>
      <c r="C124" s="0" t="s">
        <v>3372</v>
      </c>
      <c r="D124" s="0" t="s">
        <v>3391</v>
      </c>
      <c r="E124" s="0" t="s">
        <v>3392</v>
      </c>
      <c r="F124" s="0" t="s">
        <v>3089</v>
      </c>
      <c r="G124" s="0" t="s">
        <v>3393</v>
      </c>
    </row>
    <row customHeight="1" ht="11.25">
      <c r="A125" s="0" t="s">
        <v>16</v>
      </c>
      <c r="B125" s="0" t="s">
        <v>3371</v>
      </c>
      <c r="C125" s="0" t="s">
        <v>3372</v>
      </c>
      <c r="D125" s="0" t="s">
        <v>3394</v>
      </c>
      <c r="E125" s="0" t="s">
        <v>3395</v>
      </c>
      <c r="F125" s="0" t="s">
        <v>3089</v>
      </c>
      <c r="G125" s="0" t="s">
        <v>3396</v>
      </c>
    </row>
    <row customHeight="1" ht="11.25">
      <c r="A126" s="0" t="s">
        <v>16</v>
      </c>
      <c r="B126" s="0" t="s">
        <v>3371</v>
      </c>
      <c r="C126" s="0" t="s">
        <v>3372</v>
      </c>
      <c r="D126" s="0" t="s">
        <v>3397</v>
      </c>
      <c r="E126" s="0" t="s">
        <v>3398</v>
      </c>
      <c r="F126" s="0" t="s">
        <v>3089</v>
      </c>
      <c r="G126" s="0" t="s">
        <v>3399</v>
      </c>
    </row>
    <row customHeight="1" ht="11.25">
      <c r="A127" s="0" t="s">
        <v>16</v>
      </c>
      <c r="B127" s="0" t="s">
        <v>3371</v>
      </c>
      <c r="C127" s="0" t="s">
        <v>3372</v>
      </c>
      <c r="D127" s="0" t="s">
        <v>3400</v>
      </c>
      <c r="E127" s="0" t="s">
        <v>3401</v>
      </c>
      <c r="F127" s="0" t="s">
        <v>3159</v>
      </c>
      <c r="G127" s="0" t="s">
        <v>3402</v>
      </c>
    </row>
    <row customHeight="1" ht="11.25">
      <c r="A128" s="0" t="s">
        <v>16</v>
      </c>
      <c r="B128" s="0" t="s">
        <v>104</v>
      </c>
      <c r="C128" s="0" t="s">
        <v>3403</v>
      </c>
      <c r="D128" s="0" t="s">
        <v>105</v>
      </c>
      <c r="E128" s="0" t="s">
        <v>106</v>
      </c>
      <c r="F128" s="0" t="s">
        <v>3089</v>
      </c>
      <c r="G128" s="0" t="s">
        <v>103</v>
      </c>
    </row>
    <row customHeight="1" ht="11.25">
      <c r="A129" s="0" t="s">
        <v>16</v>
      </c>
      <c r="B129" s="0" t="s">
        <v>104</v>
      </c>
      <c r="C129" s="0" t="s">
        <v>3403</v>
      </c>
      <c r="D129" s="0" t="s">
        <v>112</v>
      </c>
      <c r="E129" s="0" t="s">
        <v>113</v>
      </c>
      <c r="F129" s="0" t="s">
        <v>3089</v>
      </c>
      <c r="G129" s="0" t="s">
        <v>111</v>
      </c>
    </row>
    <row customHeight="1" ht="11.25">
      <c r="A130" s="0" t="s">
        <v>16</v>
      </c>
      <c r="B130" s="0" t="s">
        <v>104</v>
      </c>
      <c r="C130" s="0" t="s">
        <v>3403</v>
      </c>
      <c r="D130" s="0" t="s">
        <v>116</v>
      </c>
      <c r="E130" s="0" t="s">
        <v>117</v>
      </c>
      <c r="F130" s="0" t="s">
        <v>3089</v>
      </c>
      <c r="G130" s="0" t="s">
        <v>115</v>
      </c>
    </row>
    <row customHeight="1" ht="11.25">
      <c r="A131" s="0" t="s">
        <v>16</v>
      </c>
      <c r="B131" s="0" t="s">
        <v>104</v>
      </c>
      <c r="C131" s="0" t="s">
        <v>3403</v>
      </c>
      <c r="D131" s="0" t="s">
        <v>120</v>
      </c>
      <c r="E131" s="0" t="s">
        <v>121</v>
      </c>
      <c r="F131" s="0" t="s">
        <v>3089</v>
      </c>
      <c r="G131" s="0" t="s">
        <v>119</v>
      </c>
    </row>
    <row customHeight="1" ht="11.25">
      <c r="A132" s="0" t="s">
        <v>16</v>
      </c>
      <c r="B132" s="0" t="s">
        <v>104</v>
      </c>
      <c r="C132" s="0" t="s">
        <v>3403</v>
      </c>
      <c r="D132" s="0" t="s">
        <v>125</v>
      </c>
      <c r="E132" s="0" t="s">
        <v>126</v>
      </c>
      <c r="F132" s="0" t="s">
        <v>3089</v>
      </c>
      <c r="G132" s="0" t="s">
        <v>124</v>
      </c>
    </row>
    <row customHeight="1" ht="11.25">
      <c r="A133" s="0" t="s">
        <v>16</v>
      </c>
      <c r="B133" s="0" t="s">
        <v>104</v>
      </c>
      <c r="C133" s="0" t="s">
        <v>3403</v>
      </c>
      <c r="D133" s="0" t="s">
        <v>129</v>
      </c>
      <c r="E133" s="0" t="s">
        <v>130</v>
      </c>
      <c r="F133" s="0" t="s">
        <v>3089</v>
      </c>
      <c r="G133" s="0" t="s">
        <v>128</v>
      </c>
    </row>
    <row customHeight="1" ht="11.25">
      <c r="A134" s="0" t="s">
        <v>16</v>
      </c>
      <c r="B134" s="0" t="s">
        <v>104</v>
      </c>
      <c r="C134" s="0" t="s">
        <v>3403</v>
      </c>
      <c r="D134" s="0" t="s">
        <v>104</v>
      </c>
      <c r="E134" s="0" t="s">
        <v>3403</v>
      </c>
      <c r="F134" s="0" t="s">
        <v>3090</v>
      </c>
      <c r="G134" s="0" t="s">
        <v>3404</v>
      </c>
    </row>
    <row customHeight="1" ht="11.25">
      <c r="A135" s="0" t="s">
        <v>16</v>
      </c>
      <c r="B135" s="0" t="s">
        <v>104</v>
      </c>
      <c r="C135" s="0" t="s">
        <v>3403</v>
      </c>
      <c r="D135" s="0" t="s">
        <v>133</v>
      </c>
      <c r="E135" s="0" t="s">
        <v>134</v>
      </c>
      <c r="F135" s="0" t="s">
        <v>3089</v>
      </c>
      <c r="G135" s="0" t="s">
        <v>132</v>
      </c>
    </row>
    <row customHeight="1" ht="11.25">
      <c r="A136" s="0" t="s">
        <v>16</v>
      </c>
      <c r="B136" s="0" t="s">
        <v>104</v>
      </c>
      <c r="C136" s="0" t="s">
        <v>3403</v>
      </c>
      <c r="D136" s="0" t="s">
        <v>138</v>
      </c>
      <c r="E136" s="0" t="s">
        <v>139</v>
      </c>
      <c r="F136" s="0" t="s">
        <v>3089</v>
      </c>
      <c r="G136" s="0" t="s">
        <v>137</v>
      </c>
    </row>
    <row customHeight="1" ht="11.25">
      <c r="A137" s="0" t="s">
        <v>16</v>
      </c>
      <c r="B137" s="0" t="s">
        <v>104</v>
      </c>
      <c r="C137" s="0" t="s">
        <v>3403</v>
      </c>
      <c r="D137" s="0" t="s">
        <v>143</v>
      </c>
      <c r="E137" s="0" t="s">
        <v>144</v>
      </c>
      <c r="F137" s="0" t="s">
        <v>3089</v>
      </c>
      <c r="G137" s="0" t="s">
        <v>142</v>
      </c>
    </row>
    <row customHeight="1" ht="11.25">
      <c r="A138" s="0" t="s">
        <v>16</v>
      </c>
      <c r="B138" s="0" t="s">
        <v>104</v>
      </c>
      <c r="C138" s="0" t="s">
        <v>3403</v>
      </c>
      <c r="D138" s="0" t="s">
        <v>148</v>
      </c>
      <c r="E138" s="0" t="s">
        <v>149</v>
      </c>
      <c r="F138" s="0" t="s">
        <v>3089</v>
      </c>
      <c r="G138" s="0" t="s">
        <v>147</v>
      </c>
    </row>
    <row customHeight="1" ht="11.25">
      <c r="A139" s="0" t="s">
        <v>16</v>
      </c>
      <c r="B139" s="0" t="s">
        <v>104</v>
      </c>
      <c r="C139" s="0" t="s">
        <v>3403</v>
      </c>
      <c r="D139" s="0" t="s">
        <v>153</v>
      </c>
      <c r="E139" s="0" t="s">
        <v>154</v>
      </c>
      <c r="F139" s="0" t="s">
        <v>3089</v>
      </c>
      <c r="G139" s="0" t="s">
        <v>152</v>
      </c>
    </row>
    <row customHeight="1" ht="11.25">
      <c r="A140" s="0" t="s">
        <v>16</v>
      </c>
      <c r="B140" s="0" t="s">
        <v>104</v>
      </c>
      <c r="C140" s="0" t="s">
        <v>3403</v>
      </c>
      <c r="D140" s="0" t="s">
        <v>158</v>
      </c>
      <c r="E140" s="0" t="s">
        <v>159</v>
      </c>
      <c r="F140" s="0" t="s">
        <v>3089</v>
      </c>
      <c r="G140" s="0" t="s">
        <v>157</v>
      </c>
    </row>
    <row customHeight="1" ht="11.25">
      <c r="A141" s="0" t="s">
        <v>16</v>
      </c>
      <c r="B141" s="0" t="s">
        <v>104</v>
      </c>
      <c r="C141" s="0" t="s">
        <v>3403</v>
      </c>
      <c r="D141" s="0" t="s">
        <v>163</v>
      </c>
      <c r="E141" s="0" t="s">
        <v>164</v>
      </c>
      <c r="F141" s="0" t="s">
        <v>3089</v>
      </c>
      <c r="G141" s="0" t="s">
        <v>162</v>
      </c>
    </row>
    <row customHeight="1" ht="11.25">
      <c r="A142" s="0" t="s">
        <v>16</v>
      </c>
      <c r="B142" s="0" t="s">
        <v>104</v>
      </c>
      <c r="C142" s="0" t="s">
        <v>3403</v>
      </c>
      <c r="D142" s="0" t="s">
        <v>168</v>
      </c>
      <c r="E142" s="0" t="s">
        <v>169</v>
      </c>
      <c r="F142" s="0" t="s">
        <v>3089</v>
      </c>
      <c r="G142" s="0" t="s">
        <v>167</v>
      </c>
    </row>
    <row customHeight="1" ht="11.25">
      <c r="A143" s="0" t="s">
        <v>16</v>
      </c>
      <c r="B143" s="0" t="s">
        <v>104</v>
      </c>
      <c r="C143" s="0" t="s">
        <v>3403</v>
      </c>
      <c r="D143" s="0" t="s">
        <v>173</v>
      </c>
      <c r="E143" s="0" t="s">
        <v>174</v>
      </c>
      <c r="F143" s="0" t="s">
        <v>3089</v>
      </c>
      <c r="G143" s="0" t="s">
        <v>172</v>
      </c>
    </row>
    <row customHeight="1" ht="11.25">
      <c r="A144" s="0" t="s">
        <v>16</v>
      </c>
      <c r="B144" s="0" t="s">
        <v>104</v>
      </c>
      <c r="C144" s="0" t="s">
        <v>3403</v>
      </c>
      <c r="D144" s="0" t="s">
        <v>178</v>
      </c>
      <c r="E144" s="0" t="s">
        <v>179</v>
      </c>
      <c r="F144" s="0" t="s">
        <v>3089</v>
      </c>
      <c r="G144" s="0" t="s">
        <v>177</v>
      </c>
    </row>
    <row customHeight="1" ht="11.25">
      <c r="A145" s="0" t="s">
        <v>16</v>
      </c>
      <c r="B145" s="0" t="s">
        <v>104</v>
      </c>
      <c r="C145" s="0" t="s">
        <v>3403</v>
      </c>
      <c r="D145" s="0" t="s">
        <v>183</v>
      </c>
      <c r="E145" s="0" t="s">
        <v>184</v>
      </c>
      <c r="F145" s="0" t="s">
        <v>3089</v>
      </c>
      <c r="G145" s="0" t="s">
        <v>182</v>
      </c>
    </row>
    <row customHeight="1" ht="11.25">
      <c r="A146" s="0" t="s">
        <v>16</v>
      </c>
      <c r="B146" s="0" t="s">
        <v>3405</v>
      </c>
      <c r="C146" s="0" t="s">
        <v>3406</v>
      </c>
      <c r="D146" s="0" t="s">
        <v>3407</v>
      </c>
      <c r="E146" s="0" t="s">
        <v>3408</v>
      </c>
      <c r="F146" s="0" t="s">
        <v>3089</v>
      </c>
      <c r="G146" s="0" t="s">
        <v>3409</v>
      </c>
    </row>
    <row customHeight="1" ht="11.25">
      <c r="A147" s="0" t="s">
        <v>16</v>
      </c>
      <c r="B147" s="0" t="s">
        <v>3405</v>
      </c>
      <c r="C147" s="0" t="s">
        <v>3406</v>
      </c>
      <c r="D147" s="0" t="s">
        <v>3410</v>
      </c>
      <c r="E147" s="0" t="s">
        <v>3411</v>
      </c>
      <c r="F147" s="0" t="s">
        <v>3089</v>
      </c>
      <c r="G147" s="0" t="s">
        <v>3412</v>
      </c>
    </row>
    <row customHeight="1" ht="11.25">
      <c r="A148" s="0" t="s">
        <v>16</v>
      </c>
      <c r="B148" s="0" t="s">
        <v>3405</v>
      </c>
      <c r="C148" s="0" t="s">
        <v>3406</v>
      </c>
      <c r="D148" s="0" t="s">
        <v>3413</v>
      </c>
      <c r="E148" s="0" t="s">
        <v>3414</v>
      </c>
      <c r="F148" s="0" t="s">
        <v>3089</v>
      </c>
      <c r="G148" s="0" t="s">
        <v>3415</v>
      </c>
    </row>
    <row customHeight="1" ht="11.25">
      <c r="A149" s="0" t="s">
        <v>16</v>
      </c>
      <c r="B149" s="0" t="s">
        <v>3405</v>
      </c>
      <c r="C149" s="0" t="s">
        <v>3406</v>
      </c>
      <c r="D149" s="0" t="s">
        <v>3416</v>
      </c>
      <c r="E149" s="0" t="s">
        <v>3417</v>
      </c>
      <c r="F149" s="0" t="s">
        <v>3089</v>
      </c>
      <c r="G149" s="0" t="s">
        <v>3418</v>
      </c>
    </row>
    <row customHeight="1" ht="11.25">
      <c r="A150" s="0" t="s">
        <v>16</v>
      </c>
      <c r="B150" s="0" t="s">
        <v>3405</v>
      </c>
      <c r="C150" s="0" t="s">
        <v>3406</v>
      </c>
      <c r="D150" s="0" t="s">
        <v>3405</v>
      </c>
      <c r="E150" s="0" t="s">
        <v>3406</v>
      </c>
      <c r="F150" s="0" t="s">
        <v>3090</v>
      </c>
      <c r="G150" s="0" t="s">
        <v>3419</v>
      </c>
    </row>
    <row customHeight="1" ht="11.25">
      <c r="A151" s="0" t="s">
        <v>16</v>
      </c>
      <c r="B151" s="0" t="s">
        <v>3405</v>
      </c>
      <c r="C151" s="0" t="s">
        <v>3406</v>
      </c>
      <c r="D151" s="0" t="s">
        <v>3420</v>
      </c>
      <c r="E151" s="0" t="s">
        <v>3421</v>
      </c>
      <c r="F151" s="0" t="s">
        <v>3089</v>
      </c>
      <c r="G151" s="0" t="s">
        <v>3422</v>
      </c>
    </row>
    <row customHeight="1" ht="11.25">
      <c r="A152" s="0" t="s">
        <v>16</v>
      </c>
      <c r="B152" s="0" t="s">
        <v>3405</v>
      </c>
      <c r="C152" s="0" t="s">
        <v>3406</v>
      </c>
      <c r="D152" s="0" t="s">
        <v>3423</v>
      </c>
      <c r="E152" s="0" t="s">
        <v>3424</v>
      </c>
      <c r="F152" s="0" t="s">
        <v>3089</v>
      </c>
      <c r="G152" s="0" t="s">
        <v>3425</v>
      </c>
    </row>
    <row customHeight="1" ht="11.25">
      <c r="A153" s="0" t="s">
        <v>16</v>
      </c>
      <c r="B153" s="0" t="s">
        <v>3405</v>
      </c>
      <c r="C153" s="0" t="s">
        <v>3406</v>
      </c>
      <c r="D153" s="0" t="s">
        <v>3426</v>
      </c>
      <c r="E153" s="0" t="s">
        <v>3427</v>
      </c>
      <c r="F153" s="0" t="s">
        <v>3159</v>
      </c>
      <c r="G153" s="0" t="s">
        <v>3428</v>
      </c>
    </row>
    <row customHeight="1" ht="11.25">
      <c r="A154" s="0" t="s">
        <v>16</v>
      </c>
      <c r="B154" s="0" t="s">
        <v>3405</v>
      </c>
      <c r="C154" s="0" t="s">
        <v>3406</v>
      </c>
      <c r="D154" s="0" t="s">
        <v>3429</v>
      </c>
      <c r="E154" s="0" t="s">
        <v>3430</v>
      </c>
      <c r="F154" s="0" t="s">
        <v>3159</v>
      </c>
      <c r="G154" s="0" t="s">
        <v>3431</v>
      </c>
    </row>
    <row customHeight="1" ht="11.25">
      <c r="A155" s="0" t="s">
        <v>16</v>
      </c>
      <c r="B155" s="0" t="s">
        <v>3432</v>
      </c>
      <c r="C155" s="0" t="s">
        <v>3433</v>
      </c>
      <c r="D155" s="0" t="s">
        <v>3434</v>
      </c>
      <c r="E155" s="0" t="s">
        <v>3435</v>
      </c>
      <c r="F155" s="0" t="s">
        <v>3089</v>
      </c>
      <c r="G155" s="0" t="s">
        <v>3436</v>
      </c>
    </row>
    <row customHeight="1" ht="11.25">
      <c r="A156" s="0" t="s">
        <v>16</v>
      </c>
      <c r="B156" s="0" t="s">
        <v>3432</v>
      </c>
      <c r="C156" s="0" t="s">
        <v>3433</v>
      </c>
      <c r="D156" s="0" t="s">
        <v>3437</v>
      </c>
      <c r="E156" s="0" t="s">
        <v>3438</v>
      </c>
      <c r="F156" s="0" t="s">
        <v>3089</v>
      </c>
      <c r="G156" s="0" t="s">
        <v>3439</v>
      </c>
    </row>
    <row customHeight="1" ht="11.25">
      <c r="A157" s="0" t="s">
        <v>16</v>
      </c>
      <c r="B157" s="0" t="s">
        <v>3432</v>
      </c>
      <c r="C157" s="0" t="s">
        <v>3433</v>
      </c>
      <c r="D157" s="0" t="s">
        <v>3440</v>
      </c>
      <c r="E157" s="0" t="s">
        <v>3441</v>
      </c>
      <c r="F157" s="0" t="s">
        <v>3089</v>
      </c>
      <c r="G157" s="0" t="s">
        <v>3442</v>
      </c>
    </row>
    <row customHeight="1" ht="11.25">
      <c r="A158" s="0" t="s">
        <v>16</v>
      </c>
      <c r="B158" s="0" t="s">
        <v>3432</v>
      </c>
      <c r="C158" s="0" t="s">
        <v>3433</v>
      </c>
      <c r="D158" s="0" t="s">
        <v>3443</v>
      </c>
      <c r="E158" s="0" t="s">
        <v>3444</v>
      </c>
      <c r="F158" s="0" t="s">
        <v>3089</v>
      </c>
      <c r="G158" s="0" t="s">
        <v>3445</v>
      </c>
    </row>
    <row customHeight="1" ht="11.25">
      <c r="A159" s="0" t="s">
        <v>16</v>
      </c>
      <c r="B159" s="0" t="s">
        <v>3432</v>
      </c>
      <c r="C159" s="0" t="s">
        <v>3433</v>
      </c>
      <c r="D159" s="0" t="s">
        <v>3446</v>
      </c>
      <c r="E159" s="0" t="s">
        <v>3447</v>
      </c>
      <c r="F159" s="0" t="s">
        <v>3089</v>
      </c>
      <c r="G159" s="0" t="s">
        <v>3448</v>
      </c>
    </row>
    <row customHeight="1" ht="11.25">
      <c r="A160" s="0" t="s">
        <v>16</v>
      </c>
      <c r="B160" s="0" t="s">
        <v>3432</v>
      </c>
      <c r="C160" s="0" t="s">
        <v>3433</v>
      </c>
      <c r="D160" s="0" t="s">
        <v>3449</v>
      </c>
      <c r="E160" s="0" t="s">
        <v>3450</v>
      </c>
      <c r="F160" s="0" t="s">
        <v>3089</v>
      </c>
      <c r="G160" s="0" t="s">
        <v>3451</v>
      </c>
    </row>
    <row customHeight="1" ht="11.25">
      <c r="A161" s="0" t="s">
        <v>16</v>
      </c>
      <c r="B161" s="0" t="s">
        <v>3432</v>
      </c>
      <c r="C161" s="0" t="s">
        <v>3433</v>
      </c>
      <c r="D161" s="0" t="s">
        <v>3432</v>
      </c>
      <c r="E161" s="0" t="s">
        <v>3433</v>
      </c>
      <c r="F161" s="0" t="s">
        <v>3090</v>
      </c>
      <c r="G161" s="0" t="s">
        <v>3452</v>
      </c>
    </row>
    <row customHeight="1" ht="11.25">
      <c r="A162" s="0" t="s">
        <v>16</v>
      </c>
      <c r="B162" s="0" t="s">
        <v>3432</v>
      </c>
      <c r="C162" s="0" t="s">
        <v>3433</v>
      </c>
      <c r="D162" s="0" t="s">
        <v>3453</v>
      </c>
      <c r="E162" s="0" t="s">
        <v>3454</v>
      </c>
      <c r="F162" s="0" t="s">
        <v>3089</v>
      </c>
      <c r="G162" s="0" t="s">
        <v>3455</v>
      </c>
    </row>
    <row customHeight="1" ht="11.25">
      <c r="A163" s="0" t="s">
        <v>16</v>
      </c>
      <c r="B163" s="0" t="s">
        <v>3432</v>
      </c>
      <c r="C163" s="0" t="s">
        <v>3433</v>
      </c>
      <c r="D163" s="0" t="s">
        <v>3456</v>
      </c>
      <c r="E163" s="0" t="s">
        <v>3457</v>
      </c>
      <c r="F163" s="0" t="s">
        <v>3089</v>
      </c>
      <c r="G163" s="0" t="s">
        <v>3458</v>
      </c>
    </row>
    <row customHeight="1" ht="11.25">
      <c r="A164" s="0" t="s">
        <v>16</v>
      </c>
      <c r="B164" s="0" t="s">
        <v>3459</v>
      </c>
      <c r="C164" s="0" t="s">
        <v>3460</v>
      </c>
      <c r="D164" s="0" t="s">
        <v>3461</v>
      </c>
      <c r="E164" s="0" t="s">
        <v>3462</v>
      </c>
      <c r="F164" s="0" t="s">
        <v>3089</v>
      </c>
      <c r="G164" s="0" t="s">
        <v>3463</v>
      </c>
    </row>
    <row customHeight="1" ht="11.25">
      <c r="A165" s="0" t="s">
        <v>16</v>
      </c>
      <c r="B165" s="0" t="s">
        <v>3459</v>
      </c>
      <c r="C165" s="0" t="s">
        <v>3460</v>
      </c>
      <c r="D165" s="0" t="s">
        <v>3464</v>
      </c>
      <c r="E165" s="0" t="s">
        <v>3465</v>
      </c>
      <c r="F165" s="0" t="s">
        <v>3089</v>
      </c>
      <c r="G165" s="0" t="s">
        <v>3466</v>
      </c>
    </row>
    <row customHeight="1" ht="11.25">
      <c r="A166" s="0" t="s">
        <v>16</v>
      </c>
      <c r="B166" s="0" t="s">
        <v>3459</v>
      </c>
      <c r="C166" s="0" t="s">
        <v>3460</v>
      </c>
      <c r="D166" s="0" t="s">
        <v>3459</v>
      </c>
      <c r="E166" s="0" t="s">
        <v>3460</v>
      </c>
      <c r="F166" s="0" t="s">
        <v>3090</v>
      </c>
      <c r="G166" s="0" t="s">
        <v>3467</v>
      </c>
    </row>
    <row customHeight="1" ht="11.25">
      <c r="A167" s="0" t="s">
        <v>16</v>
      </c>
      <c r="B167" s="0" t="s">
        <v>3459</v>
      </c>
      <c r="C167" s="0" t="s">
        <v>3460</v>
      </c>
      <c r="D167" s="0" t="s">
        <v>3468</v>
      </c>
      <c r="E167" s="0" t="s">
        <v>3469</v>
      </c>
      <c r="F167" s="0" t="s">
        <v>3089</v>
      </c>
      <c r="G167" s="0" t="s">
        <v>3470</v>
      </c>
    </row>
    <row customHeight="1" ht="11.25">
      <c r="A168" s="0" t="s">
        <v>16</v>
      </c>
      <c r="B168" s="0" t="s">
        <v>3459</v>
      </c>
      <c r="C168" s="0" t="s">
        <v>3460</v>
      </c>
      <c r="D168" s="0" t="s">
        <v>3471</v>
      </c>
      <c r="E168" s="0" t="s">
        <v>3472</v>
      </c>
      <c r="F168" s="0" t="s">
        <v>3089</v>
      </c>
      <c r="G168" s="0" t="s">
        <v>3473</v>
      </c>
    </row>
    <row customHeight="1" ht="11.25">
      <c r="A169" s="0" t="s">
        <v>16</v>
      </c>
      <c r="B169" s="0" t="s">
        <v>3459</v>
      </c>
      <c r="C169" s="0" t="s">
        <v>3460</v>
      </c>
      <c r="D169" s="0" t="s">
        <v>3474</v>
      </c>
      <c r="E169" s="0" t="s">
        <v>3475</v>
      </c>
      <c r="F169" s="0" t="s">
        <v>3089</v>
      </c>
      <c r="G169" s="0" t="s">
        <v>3476</v>
      </c>
    </row>
    <row customHeight="1" ht="11.25">
      <c r="A170" s="0" t="s">
        <v>16</v>
      </c>
      <c r="B170" s="0" t="s">
        <v>3459</v>
      </c>
      <c r="C170" s="0" t="s">
        <v>3460</v>
      </c>
      <c r="D170" s="0" t="s">
        <v>3477</v>
      </c>
      <c r="E170" s="0" t="s">
        <v>3478</v>
      </c>
      <c r="F170" s="0" t="s">
        <v>3089</v>
      </c>
      <c r="G170" s="0" t="s">
        <v>3479</v>
      </c>
    </row>
    <row customHeight="1" ht="11.25">
      <c r="A171" s="0" t="s">
        <v>16</v>
      </c>
      <c r="B171" s="0" t="s">
        <v>3459</v>
      </c>
      <c r="C171" s="0" t="s">
        <v>3460</v>
      </c>
      <c r="D171" s="0" t="s">
        <v>3480</v>
      </c>
      <c r="E171" s="0" t="s">
        <v>3481</v>
      </c>
      <c r="F171" s="0" t="s">
        <v>3089</v>
      </c>
      <c r="G171" s="0" t="s">
        <v>3482</v>
      </c>
    </row>
    <row customHeight="1" ht="11.25">
      <c r="A172" s="0" t="s">
        <v>16</v>
      </c>
      <c r="B172" s="0" t="s">
        <v>3483</v>
      </c>
      <c r="C172" s="0" t="s">
        <v>3484</v>
      </c>
      <c r="D172" s="0" t="s">
        <v>3485</v>
      </c>
      <c r="E172" s="0" t="s">
        <v>3486</v>
      </c>
      <c r="F172" s="0" t="s">
        <v>3089</v>
      </c>
      <c r="G172" s="0" t="s">
        <v>3487</v>
      </c>
    </row>
    <row customHeight="1" ht="11.25">
      <c r="A173" s="0" t="s">
        <v>16</v>
      </c>
      <c r="B173" s="0" t="s">
        <v>3483</v>
      </c>
      <c r="C173" s="0" t="s">
        <v>3484</v>
      </c>
      <c r="D173" s="0" t="s">
        <v>3488</v>
      </c>
      <c r="E173" s="0" t="s">
        <v>3489</v>
      </c>
      <c r="F173" s="0" t="s">
        <v>3089</v>
      </c>
      <c r="G173" s="0" t="s">
        <v>3490</v>
      </c>
    </row>
    <row customHeight="1" ht="11.25">
      <c r="A174" s="0" t="s">
        <v>16</v>
      </c>
      <c r="B174" s="0" t="s">
        <v>3483</v>
      </c>
      <c r="C174" s="0" t="s">
        <v>3484</v>
      </c>
      <c r="D174" s="0" t="s">
        <v>3491</v>
      </c>
      <c r="E174" s="0" t="s">
        <v>3492</v>
      </c>
      <c r="F174" s="0" t="s">
        <v>3089</v>
      </c>
      <c r="G174" s="0" t="s">
        <v>3493</v>
      </c>
    </row>
    <row customHeight="1" ht="11.25">
      <c r="A175" s="0" t="s">
        <v>16</v>
      </c>
      <c r="B175" s="0" t="s">
        <v>3483</v>
      </c>
      <c r="C175" s="0" t="s">
        <v>3484</v>
      </c>
      <c r="D175" s="0" t="s">
        <v>3494</v>
      </c>
      <c r="E175" s="0" t="s">
        <v>3495</v>
      </c>
      <c r="F175" s="0" t="s">
        <v>3089</v>
      </c>
      <c r="G175" s="0" t="s">
        <v>3496</v>
      </c>
    </row>
    <row customHeight="1" ht="11.25">
      <c r="A176" s="0" t="s">
        <v>16</v>
      </c>
      <c r="B176" s="0" t="s">
        <v>3483</v>
      </c>
      <c r="C176" s="0" t="s">
        <v>3484</v>
      </c>
      <c r="D176" s="0" t="s">
        <v>3497</v>
      </c>
      <c r="E176" s="0" t="s">
        <v>3498</v>
      </c>
      <c r="F176" s="0" t="s">
        <v>3089</v>
      </c>
      <c r="G176" s="0" t="s">
        <v>3499</v>
      </c>
    </row>
    <row customHeight="1" ht="11.25">
      <c r="A177" s="0" t="s">
        <v>16</v>
      </c>
      <c r="B177" s="0" t="s">
        <v>3483</v>
      </c>
      <c r="C177" s="0" t="s">
        <v>3484</v>
      </c>
      <c r="D177" s="0" t="s">
        <v>3483</v>
      </c>
      <c r="E177" s="0" t="s">
        <v>3484</v>
      </c>
      <c r="F177" s="0" t="s">
        <v>3090</v>
      </c>
      <c r="G177" s="0" t="s">
        <v>3500</v>
      </c>
    </row>
    <row customHeight="1" ht="11.25">
      <c r="A178" s="0" t="s">
        <v>16</v>
      </c>
      <c r="B178" s="0" t="s">
        <v>3483</v>
      </c>
      <c r="C178" s="0" t="s">
        <v>3484</v>
      </c>
      <c r="D178" s="0" t="s">
        <v>3501</v>
      </c>
      <c r="E178" s="0" t="s">
        <v>3502</v>
      </c>
      <c r="F178" s="0" t="s">
        <v>3089</v>
      </c>
      <c r="G178" s="0" t="s">
        <v>3503</v>
      </c>
    </row>
    <row customHeight="1" ht="11.25">
      <c r="A179" s="0" t="s">
        <v>16</v>
      </c>
      <c r="B179" s="0" t="s">
        <v>3483</v>
      </c>
      <c r="C179" s="0" t="s">
        <v>3484</v>
      </c>
      <c r="D179" s="0" t="s">
        <v>3504</v>
      </c>
      <c r="E179" s="0" t="s">
        <v>3505</v>
      </c>
      <c r="F179" s="0" t="s">
        <v>3089</v>
      </c>
      <c r="G179" s="0" t="s">
        <v>3506</v>
      </c>
    </row>
    <row customHeight="1" ht="11.25">
      <c r="A180" s="0" t="s">
        <v>16</v>
      </c>
      <c r="B180" s="0" t="s">
        <v>3483</v>
      </c>
      <c r="C180" s="0" t="s">
        <v>3484</v>
      </c>
      <c r="D180" s="0" t="s">
        <v>3507</v>
      </c>
      <c r="E180" s="0" t="s">
        <v>3508</v>
      </c>
      <c r="F180" s="0" t="s">
        <v>3089</v>
      </c>
      <c r="G180" s="0" t="s">
        <v>3509</v>
      </c>
    </row>
    <row customHeight="1" ht="11.25">
      <c r="A181" s="0" t="s">
        <v>16</v>
      </c>
      <c r="B181" s="0" t="s">
        <v>3483</v>
      </c>
      <c r="C181" s="0" t="s">
        <v>3484</v>
      </c>
      <c r="D181" s="0" t="s">
        <v>3510</v>
      </c>
      <c r="E181" s="0" t="s">
        <v>3511</v>
      </c>
      <c r="F181" s="0" t="s">
        <v>3089</v>
      </c>
      <c r="G181" s="0" t="s">
        <v>3512</v>
      </c>
    </row>
    <row customHeight="1" ht="11.25">
      <c r="A182" s="0" t="s">
        <v>16</v>
      </c>
      <c r="B182" s="0" t="s">
        <v>3483</v>
      </c>
      <c r="C182" s="0" t="s">
        <v>3484</v>
      </c>
      <c r="D182" s="0" t="s">
        <v>3513</v>
      </c>
      <c r="E182" s="0" t="s">
        <v>3514</v>
      </c>
      <c r="F182" s="0" t="s">
        <v>3159</v>
      </c>
      <c r="G182" s="0" t="s">
        <v>3515</v>
      </c>
    </row>
    <row customHeight="1" ht="11.25">
      <c r="A183" s="0" t="s">
        <v>16</v>
      </c>
      <c r="B183" s="0" t="s">
        <v>3516</v>
      </c>
      <c r="C183" s="0" t="s">
        <v>3517</v>
      </c>
      <c r="D183" s="0" t="s">
        <v>3518</v>
      </c>
      <c r="E183" s="0" t="s">
        <v>3519</v>
      </c>
      <c r="F183" s="0" t="s">
        <v>3089</v>
      </c>
      <c r="G183" s="0" t="s">
        <v>3520</v>
      </c>
    </row>
    <row customHeight="1" ht="11.25">
      <c r="A184" s="0" t="s">
        <v>16</v>
      </c>
      <c r="B184" s="0" t="s">
        <v>3516</v>
      </c>
      <c r="C184" s="0" t="s">
        <v>3517</v>
      </c>
      <c r="D184" s="0" t="s">
        <v>3521</v>
      </c>
      <c r="E184" s="0" t="s">
        <v>3522</v>
      </c>
      <c r="F184" s="0" t="s">
        <v>3089</v>
      </c>
      <c r="G184" s="0" t="s">
        <v>3523</v>
      </c>
    </row>
    <row customHeight="1" ht="11.25">
      <c r="A185" s="0" t="s">
        <v>16</v>
      </c>
      <c r="B185" s="0" t="s">
        <v>3516</v>
      </c>
      <c r="C185" s="0" t="s">
        <v>3517</v>
      </c>
      <c r="D185" s="0" t="s">
        <v>3524</v>
      </c>
      <c r="E185" s="0" t="s">
        <v>3525</v>
      </c>
      <c r="F185" s="0" t="s">
        <v>3089</v>
      </c>
      <c r="G185" s="0" t="s">
        <v>3526</v>
      </c>
    </row>
    <row customHeight="1" ht="11.25">
      <c r="A186" s="0" t="s">
        <v>16</v>
      </c>
      <c r="B186" s="0" t="s">
        <v>3516</v>
      </c>
      <c r="C186" s="0" t="s">
        <v>3517</v>
      </c>
      <c r="D186" s="0" t="s">
        <v>3527</v>
      </c>
      <c r="E186" s="0" t="s">
        <v>3528</v>
      </c>
      <c r="F186" s="0" t="s">
        <v>3089</v>
      </c>
      <c r="G186" s="0" t="s">
        <v>3529</v>
      </c>
    </row>
    <row customHeight="1" ht="11.25">
      <c r="A187" s="0" t="s">
        <v>16</v>
      </c>
      <c r="B187" s="0" t="s">
        <v>3516</v>
      </c>
      <c r="C187" s="0" t="s">
        <v>3517</v>
      </c>
      <c r="D187" s="0" t="s">
        <v>3530</v>
      </c>
      <c r="E187" s="0" t="s">
        <v>3531</v>
      </c>
      <c r="F187" s="0" t="s">
        <v>3089</v>
      </c>
      <c r="G187" s="0" t="s">
        <v>3532</v>
      </c>
    </row>
    <row customHeight="1" ht="11.25">
      <c r="A188" s="0" t="s">
        <v>16</v>
      </c>
      <c r="B188" s="0" t="s">
        <v>3516</v>
      </c>
      <c r="C188" s="0" t="s">
        <v>3517</v>
      </c>
      <c r="D188" s="0" t="s">
        <v>3533</v>
      </c>
      <c r="E188" s="0" t="s">
        <v>3534</v>
      </c>
      <c r="F188" s="0" t="s">
        <v>3089</v>
      </c>
      <c r="G188" s="0" t="s">
        <v>3535</v>
      </c>
    </row>
    <row customHeight="1" ht="11.25">
      <c r="A189" s="0" t="s">
        <v>16</v>
      </c>
      <c r="B189" s="0" t="s">
        <v>3516</v>
      </c>
      <c r="C189" s="0" t="s">
        <v>3517</v>
      </c>
      <c r="D189" s="0" t="s">
        <v>3536</v>
      </c>
      <c r="E189" s="0" t="s">
        <v>3537</v>
      </c>
      <c r="F189" s="0" t="s">
        <v>3089</v>
      </c>
      <c r="G189" s="0" t="s">
        <v>3538</v>
      </c>
    </row>
    <row customHeight="1" ht="11.25">
      <c r="A190" s="0" t="s">
        <v>16</v>
      </c>
      <c r="B190" s="0" t="s">
        <v>3516</v>
      </c>
      <c r="C190" s="0" t="s">
        <v>3517</v>
      </c>
      <c r="D190" s="0" t="s">
        <v>3539</v>
      </c>
      <c r="E190" s="0" t="s">
        <v>3540</v>
      </c>
      <c r="F190" s="0" t="s">
        <v>3089</v>
      </c>
      <c r="G190" s="0" t="s">
        <v>3541</v>
      </c>
    </row>
    <row customHeight="1" ht="11.25">
      <c r="A191" s="0" t="s">
        <v>16</v>
      </c>
      <c r="B191" s="0" t="s">
        <v>3516</v>
      </c>
      <c r="C191" s="0" t="s">
        <v>3517</v>
      </c>
      <c r="D191" s="0" t="s">
        <v>3516</v>
      </c>
      <c r="E191" s="0" t="s">
        <v>3517</v>
      </c>
      <c r="F191" s="0" t="s">
        <v>3090</v>
      </c>
      <c r="G191" s="0" t="s">
        <v>3542</v>
      </c>
    </row>
    <row customHeight="1" ht="11.25">
      <c r="A192" s="0" t="s">
        <v>16</v>
      </c>
      <c r="B192" s="0" t="s">
        <v>3516</v>
      </c>
      <c r="C192" s="0" t="s">
        <v>3517</v>
      </c>
      <c r="D192" s="0" t="s">
        <v>3543</v>
      </c>
      <c r="E192" s="0" t="s">
        <v>3544</v>
      </c>
      <c r="F192" s="0" t="s">
        <v>3089</v>
      </c>
      <c r="G192" s="0" t="s">
        <v>3545</v>
      </c>
    </row>
    <row customHeight="1" ht="11.25">
      <c r="A193" s="0" t="s">
        <v>16</v>
      </c>
      <c r="B193" s="0" t="s">
        <v>3516</v>
      </c>
      <c r="C193" s="0" t="s">
        <v>3517</v>
      </c>
      <c r="D193" s="0" t="s">
        <v>3546</v>
      </c>
      <c r="E193" s="0" t="s">
        <v>3547</v>
      </c>
      <c r="F193" s="0" t="s">
        <v>3089</v>
      </c>
      <c r="G193" s="0" t="s">
        <v>3548</v>
      </c>
    </row>
    <row customHeight="1" ht="11.25">
      <c r="A194" s="0" t="s">
        <v>16</v>
      </c>
      <c r="B194" s="0" t="s">
        <v>3516</v>
      </c>
      <c r="C194" s="0" t="s">
        <v>3517</v>
      </c>
      <c r="D194" s="0" t="s">
        <v>3549</v>
      </c>
      <c r="E194" s="0" t="s">
        <v>3550</v>
      </c>
      <c r="F194" s="0" t="s">
        <v>3089</v>
      </c>
      <c r="G194" s="0" t="s">
        <v>3551</v>
      </c>
    </row>
    <row customHeight="1" ht="11.25">
      <c r="A195" s="0" t="s">
        <v>16</v>
      </c>
      <c r="B195" s="0" t="s">
        <v>3516</v>
      </c>
      <c r="C195" s="0" t="s">
        <v>3517</v>
      </c>
      <c r="D195" s="0" t="s">
        <v>3552</v>
      </c>
      <c r="E195" s="0" t="s">
        <v>3553</v>
      </c>
      <c r="F195" s="0" t="s">
        <v>3089</v>
      </c>
      <c r="G195" s="0" t="s">
        <v>3554</v>
      </c>
    </row>
    <row customHeight="1" ht="11.25">
      <c r="A196" s="0" t="s">
        <v>16</v>
      </c>
      <c r="B196" s="0" t="s">
        <v>3516</v>
      </c>
      <c r="C196" s="0" t="s">
        <v>3517</v>
      </c>
      <c r="D196" s="0" t="s">
        <v>3555</v>
      </c>
      <c r="E196" s="0" t="s">
        <v>3556</v>
      </c>
      <c r="F196" s="0" t="s">
        <v>3214</v>
      </c>
      <c r="G196" s="0" t="s">
        <v>3557</v>
      </c>
    </row>
    <row customHeight="1" ht="11.25">
      <c r="A197" s="0" t="s">
        <v>16</v>
      </c>
      <c r="B197" s="0" t="s">
        <v>3558</v>
      </c>
      <c r="C197" s="0" t="s">
        <v>3559</v>
      </c>
      <c r="D197" s="0" t="s">
        <v>3560</v>
      </c>
      <c r="E197" s="0" t="s">
        <v>3561</v>
      </c>
      <c r="F197" s="0" t="s">
        <v>3089</v>
      </c>
      <c r="G197" s="0" t="s">
        <v>3562</v>
      </c>
    </row>
    <row customHeight="1" ht="11.25">
      <c r="A198" s="0" t="s">
        <v>16</v>
      </c>
      <c r="B198" s="0" t="s">
        <v>3558</v>
      </c>
      <c r="C198" s="0" t="s">
        <v>3559</v>
      </c>
      <c r="D198" s="0" t="s">
        <v>3563</v>
      </c>
      <c r="E198" s="0" t="s">
        <v>3564</v>
      </c>
      <c r="F198" s="0" t="s">
        <v>3089</v>
      </c>
      <c r="G198" s="0" t="s">
        <v>3565</v>
      </c>
    </row>
    <row customHeight="1" ht="11.25">
      <c r="A199" s="0" t="s">
        <v>16</v>
      </c>
      <c r="B199" s="0" t="s">
        <v>3558</v>
      </c>
      <c r="C199" s="0" t="s">
        <v>3559</v>
      </c>
      <c r="D199" s="0" t="s">
        <v>3566</v>
      </c>
      <c r="E199" s="0" t="s">
        <v>3567</v>
      </c>
      <c r="F199" s="0" t="s">
        <v>3089</v>
      </c>
      <c r="G199" s="0" t="s">
        <v>3568</v>
      </c>
    </row>
    <row customHeight="1" ht="11.25">
      <c r="A200" s="0" t="s">
        <v>16</v>
      </c>
      <c r="B200" s="0" t="s">
        <v>3558</v>
      </c>
      <c r="C200" s="0" t="s">
        <v>3559</v>
      </c>
      <c r="D200" s="0" t="s">
        <v>3569</v>
      </c>
      <c r="E200" s="0" t="s">
        <v>3570</v>
      </c>
      <c r="F200" s="0" t="s">
        <v>3089</v>
      </c>
      <c r="G200" s="0" t="s">
        <v>3571</v>
      </c>
    </row>
    <row customHeight="1" ht="11.25">
      <c r="A201" s="0" t="s">
        <v>16</v>
      </c>
      <c r="B201" s="0" t="s">
        <v>3558</v>
      </c>
      <c r="C201" s="0" t="s">
        <v>3559</v>
      </c>
      <c r="D201" s="0" t="s">
        <v>3572</v>
      </c>
      <c r="E201" s="0" t="s">
        <v>3573</v>
      </c>
      <c r="F201" s="0" t="s">
        <v>3089</v>
      </c>
      <c r="G201" s="0" t="s">
        <v>3574</v>
      </c>
    </row>
    <row customHeight="1" ht="11.25">
      <c r="A202" s="0" t="s">
        <v>16</v>
      </c>
      <c r="B202" s="0" t="s">
        <v>3558</v>
      </c>
      <c r="C202" s="0" t="s">
        <v>3559</v>
      </c>
      <c r="D202" s="0" t="s">
        <v>3176</v>
      </c>
      <c r="E202" s="0" t="s">
        <v>3575</v>
      </c>
      <c r="F202" s="0" t="s">
        <v>3089</v>
      </c>
      <c r="G202" s="0" t="s">
        <v>3576</v>
      </c>
    </row>
    <row customHeight="1" ht="11.25">
      <c r="A203" s="0" t="s">
        <v>16</v>
      </c>
      <c r="B203" s="0" t="s">
        <v>3558</v>
      </c>
      <c r="C203" s="0" t="s">
        <v>3559</v>
      </c>
      <c r="D203" s="0" t="s">
        <v>3558</v>
      </c>
      <c r="E203" s="0" t="s">
        <v>3559</v>
      </c>
      <c r="F203" s="0" t="s">
        <v>3090</v>
      </c>
      <c r="G203" s="0" t="s">
        <v>3577</v>
      </c>
    </row>
    <row customHeight="1" ht="11.25">
      <c r="A204" s="0" t="s">
        <v>16</v>
      </c>
      <c r="B204" s="0" t="s">
        <v>3558</v>
      </c>
      <c r="C204" s="0" t="s">
        <v>3559</v>
      </c>
      <c r="D204" s="0" t="s">
        <v>3578</v>
      </c>
      <c r="E204" s="0" t="s">
        <v>3579</v>
      </c>
      <c r="F204" s="0" t="s">
        <v>3089</v>
      </c>
      <c r="G204" s="0" t="s">
        <v>3580</v>
      </c>
    </row>
    <row customHeight="1" ht="11.25">
      <c r="A205" s="0" t="s">
        <v>16</v>
      </c>
      <c r="B205" s="0" t="s">
        <v>3558</v>
      </c>
      <c r="C205" s="0" t="s">
        <v>3559</v>
      </c>
      <c r="D205" s="0" t="s">
        <v>3581</v>
      </c>
      <c r="E205" s="0" t="s">
        <v>3582</v>
      </c>
      <c r="F205" s="0" t="s">
        <v>3089</v>
      </c>
      <c r="G205" s="0" t="s">
        <v>3583</v>
      </c>
    </row>
    <row customHeight="1" ht="11.25">
      <c r="A206" s="0" t="s">
        <v>16</v>
      </c>
      <c r="B206" s="0" t="s">
        <v>3558</v>
      </c>
      <c r="C206" s="0" t="s">
        <v>3559</v>
      </c>
      <c r="D206" s="0" t="s">
        <v>3584</v>
      </c>
      <c r="E206" s="0" t="s">
        <v>3585</v>
      </c>
      <c r="F206" s="0" t="s">
        <v>3089</v>
      </c>
      <c r="G206" s="0" t="s">
        <v>3586</v>
      </c>
    </row>
    <row customHeight="1" ht="11.25">
      <c r="A207" s="0" t="s">
        <v>16</v>
      </c>
      <c r="B207" s="0" t="s">
        <v>3558</v>
      </c>
      <c r="C207" s="0" t="s">
        <v>3559</v>
      </c>
      <c r="D207" s="0" t="s">
        <v>3587</v>
      </c>
      <c r="E207" s="0" t="s">
        <v>3588</v>
      </c>
      <c r="F207" s="0" t="s">
        <v>3089</v>
      </c>
      <c r="G207" s="0" t="s">
        <v>3589</v>
      </c>
    </row>
    <row customHeight="1" ht="11.25">
      <c r="A208" s="0" t="s">
        <v>16</v>
      </c>
      <c r="B208" s="0" t="s">
        <v>3558</v>
      </c>
      <c r="C208" s="0" t="s">
        <v>3559</v>
      </c>
      <c r="D208" s="0" t="s">
        <v>3590</v>
      </c>
      <c r="E208" s="0" t="s">
        <v>3591</v>
      </c>
      <c r="F208" s="0" t="s">
        <v>3159</v>
      </c>
      <c r="G208" s="0" t="s">
        <v>3592</v>
      </c>
    </row>
    <row customHeight="1" ht="11.25">
      <c r="A209" s="0" t="s">
        <v>16</v>
      </c>
      <c r="B209" s="0" t="s">
        <v>3593</v>
      </c>
      <c r="C209" s="0" t="s">
        <v>3594</v>
      </c>
      <c r="D209" s="0" t="s">
        <v>3595</v>
      </c>
      <c r="E209" s="0" t="s">
        <v>3596</v>
      </c>
      <c r="F209" s="0" t="s">
        <v>3089</v>
      </c>
      <c r="G209" s="0" t="s">
        <v>3597</v>
      </c>
    </row>
    <row customHeight="1" ht="11.25">
      <c r="A210" s="0" t="s">
        <v>16</v>
      </c>
      <c r="B210" s="0" t="s">
        <v>3593</v>
      </c>
      <c r="C210" s="0" t="s">
        <v>3594</v>
      </c>
      <c r="D210" s="0" t="s">
        <v>3598</v>
      </c>
      <c r="E210" s="0" t="s">
        <v>3599</v>
      </c>
      <c r="F210" s="0" t="s">
        <v>3089</v>
      </c>
      <c r="G210" s="0" t="s">
        <v>3600</v>
      </c>
    </row>
    <row customHeight="1" ht="11.25">
      <c r="A211" s="0" t="s">
        <v>16</v>
      </c>
      <c r="B211" s="0" t="s">
        <v>3593</v>
      </c>
      <c r="C211" s="0" t="s">
        <v>3594</v>
      </c>
      <c r="D211" s="0" t="s">
        <v>3601</v>
      </c>
      <c r="E211" s="0" t="s">
        <v>3602</v>
      </c>
      <c r="F211" s="0" t="s">
        <v>3089</v>
      </c>
      <c r="G211" s="0" t="s">
        <v>3603</v>
      </c>
    </row>
    <row customHeight="1" ht="11.25">
      <c r="A212" s="0" t="s">
        <v>16</v>
      </c>
      <c r="B212" s="0" t="s">
        <v>3593</v>
      </c>
      <c r="C212" s="0" t="s">
        <v>3594</v>
      </c>
      <c r="D212" s="0" t="s">
        <v>3604</v>
      </c>
      <c r="E212" s="0" t="s">
        <v>3605</v>
      </c>
      <c r="F212" s="0" t="s">
        <v>3089</v>
      </c>
      <c r="G212" s="0" t="s">
        <v>3606</v>
      </c>
    </row>
    <row customHeight="1" ht="11.25">
      <c r="A213" s="0" t="s">
        <v>16</v>
      </c>
      <c r="B213" s="0" t="s">
        <v>3593</v>
      </c>
      <c r="C213" s="0" t="s">
        <v>3594</v>
      </c>
      <c r="D213" s="0" t="s">
        <v>3607</v>
      </c>
      <c r="E213" s="0" t="s">
        <v>3608</v>
      </c>
      <c r="F213" s="0" t="s">
        <v>3089</v>
      </c>
      <c r="G213" s="0" t="s">
        <v>3609</v>
      </c>
    </row>
    <row customHeight="1" ht="11.25">
      <c r="A214" s="0" t="s">
        <v>16</v>
      </c>
      <c r="B214" s="0" t="s">
        <v>3593</v>
      </c>
      <c r="C214" s="0" t="s">
        <v>3594</v>
      </c>
      <c r="D214" s="0" t="s">
        <v>3610</v>
      </c>
      <c r="E214" s="0" t="s">
        <v>3611</v>
      </c>
      <c r="F214" s="0" t="s">
        <v>3089</v>
      </c>
      <c r="G214" s="0" t="s">
        <v>3612</v>
      </c>
    </row>
    <row customHeight="1" ht="11.25">
      <c r="A215" s="0" t="s">
        <v>16</v>
      </c>
      <c r="B215" s="0" t="s">
        <v>3593</v>
      </c>
      <c r="C215" s="0" t="s">
        <v>3594</v>
      </c>
      <c r="D215" s="0" t="s">
        <v>3613</v>
      </c>
      <c r="E215" s="0" t="s">
        <v>3614</v>
      </c>
      <c r="F215" s="0" t="s">
        <v>3089</v>
      </c>
      <c r="G215" s="0" t="s">
        <v>3615</v>
      </c>
    </row>
    <row customHeight="1" ht="11.25">
      <c r="A216" s="0" t="s">
        <v>16</v>
      </c>
      <c r="B216" s="0" t="s">
        <v>3593</v>
      </c>
      <c r="C216" s="0" t="s">
        <v>3594</v>
      </c>
      <c r="D216" s="0" t="s">
        <v>3593</v>
      </c>
      <c r="E216" s="0" t="s">
        <v>3594</v>
      </c>
      <c r="F216" s="0" t="s">
        <v>3090</v>
      </c>
      <c r="G216" s="0" t="s">
        <v>3616</v>
      </c>
    </row>
    <row customHeight="1" ht="11.25">
      <c r="A217" s="0" t="s">
        <v>16</v>
      </c>
      <c r="B217" s="0" t="s">
        <v>3593</v>
      </c>
      <c r="C217" s="0" t="s">
        <v>3594</v>
      </c>
      <c r="D217" s="0" t="s">
        <v>3617</v>
      </c>
      <c r="E217" s="0" t="s">
        <v>3618</v>
      </c>
      <c r="F217" s="0" t="s">
        <v>3159</v>
      </c>
      <c r="G217" s="0" t="s">
        <v>3619</v>
      </c>
    </row>
    <row customHeight="1" ht="11.25">
      <c r="A218" s="0" t="s">
        <v>16</v>
      </c>
      <c r="B218" s="0" t="s">
        <v>3620</v>
      </c>
      <c r="C218" s="0" t="s">
        <v>3621</v>
      </c>
      <c r="D218" s="0" t="s">
        <v>3622</v>
      </c>
      <c r="E218" s="0" t="s">
        <v>3623</v>
      </c>
      <c r="F218" s="0" t="s">
        <v>3089</v>
      </c>
      <c r="G218" s="0" t="s">
        <v>3624</v>
      </c>
    </row>
    <row customHeight="1" ht="11.25">
      <c r="A219" s="0" t="s">
        <v>16</v>
      </c>
      <c r="B219" s="0" t="s">
        <v>3620</v>
      </c>
      <c r="C219" s="0" t="s">
        <v>3621</v>
      </c>
      <c r="D219" s="0" t="s">
        <v>3305</v>
      </c>
      <c r="E219" s="0" t="s">
        <v>3625</v>
      </c>
      <c r="F219" s="0" t="s">
        <v>3089</v>
      </c>
      <c r="G219" s="0" t="s">
        <v>3626</v>
      </c>
    </row>
    <row customHeight="1" ht="11.25">
      <c r="A220" s="0" t="s">
        <v>16</v>
      </c>
      <c r="B220" s="0" t="s">
        <v>3620</v>
      </c>
      <c r="C220" s="0" t="s">
        <v>3621</v>
      </c>
      <c r="D220" s="0" t="s">
        <v>3627</v>
      </c>
      <c r="E220" s="0" t="s">
        <v>3628</v>
      </c>
      <c r="F220" s="0" t="s">
        <v>3089</v>
      </c>
      <c r="G220" s="0" t="s">
        <v>3629</v>
      </c>
    </row>
    <row customHeight="1" ht="11.25">
      <c r="A221" s="0" t="s">
        <v>16</v>
      </c>
      <c r="B221" s="0" t="s">
        <v>3620</v>
      </c>
      <c r="C221" s="0" t="s">
        <v>3621</v>
      </c>
      <c r="D221" s="0" t="s">
        <v>3620</v>
      </c>
      <c r="E221" s="0" t="s">
        <v>3621</v>
      </c>
      <c r="F221" s="0" t="s">
        <v>3090</v>
      </c>
      <c r="G221" s="0" t="s">
        <v>3630</v>
      </c>
    </row>
    <row customHeight="1" ht="11.25">
      <c r="A222" s="0" t="s">
        <v>16</v>
      </c>
      <c r="B222" s="0" t="s">
        <v>3620</v>
      </c>
      <c r="C222" s="0" t="s">
        <v>3621</v>
      </c>
      <c r="D222" s="0" t="s">
        <v>3631</v>
      </c>
      <c r="E222" s="0" t="s">
        <v>3632</v>
      </c>
      <c r="F222" s="0" t="s">
        <v>3089</v>
      </c>
      <c r="G222" s="0" t="s">
        <v>3633</v>
      </c>
    </row>
    <row customHeight="1" ht="11.25">
      <c r="A223" s="0" t="s">
        <v>16</v>
      </c>
      <c r="B223" s="0" t="s">
        <v>3620</v>
      </c>
      <c r="C223" s="0" t="s">
        <v>3621</v>
      </c>
      <c r="D223" s="0" t="s">
        <v>3634</v>
      </c>
      <c r="E223" s="0" t="s">
        <v>3635</v>
      </c>
      <c r="F223" s="0" t="s">
        <v>3089</v>
      </c>
      <c r="G223" s="0" t="s">
        <v>3636</v>
      </c>
    </row>
    <row customHeight="1" ht="11.25">
      <c r="A224" s="0" t="s">
        <v>16</v>
      </c>
      <c r="B224" s="0" t="s">
        <v>3620</v>
      </c>
      <c r="C224" s="0" t="s">
        <v>3621</v>
      </c>
      <c r="D224" s="0" t="s">
        <v>3637</v>
      </c>
      <c r="E224" s="0" t="s">
        <v>3638</v>
      </c>
      <c r="F224" s="0" t="s">
        <v>3089</v>
      </c>
      <c r="G224" s="0" t="s">
        <v>3639</v>
      </c>
    </row>
    <row customHeight="1" ht="11.25">
      <c r="A225" s="0" t="s">
        <v>16</v>
      </c>
      <c r="B225" s="0" t="s">
        <v>3620</v>
      </c>
      <c r="C225" s="0" t="s">
        <v>3621</v>
      </c>
      <c r="D225" s="0" t="s">
        <v>3640</v>
      </c>
      <c r="E225" s="0" t="s">
        <v>3641</v>
      </c>
      <c r="F225" s="0" t="s">
        <v>3089</v>
      </c>
      <c r="G225" s="0" t="s">
        <v>3642</v>
      </c>
    </row>
    <row customHeight="1" ht="11.25">
      <c r="A226" s="0" t="s">
        <v>16</v>
      </c>
      <c r="B226" s="0" t="s">
        <v>3620</v>
      </c>
      <c r="C226" s="0" t="s">
        <v>3621</v>
      </c>
      <c r="D226" s="0" t="s">
        <v>3643</v>
      </c>
      <c r="E226" s="0" t="s">
        <v>3644</v>
      </c>
      <c r="F226" s="0" t="s">
        <v>3089</v>
      </c>
      <c r="G226" s="0" t="s">
        <v>3645</v>
      </c>
    </row>
    <row customHeight="1" ht="11.25">
      <c r="A227" s="0" t="s">
        <v>16</v>
      </c>
      <c r="B227" s="0" t="s">
        <v>3620</v>
      </c>
      <c r="C227" s="0" t="s">
        <v>3621</v>
      </c>
      <c r="D227" s="0" t="s">
        <v>3646</v>
      </c>
      <c r="E227" s="0" t="s">
        <v>3647</v>
      </c>
      <c r="F227" s="0" t="s">
        <v>3159</v>
      </c>
      <c r="G227" s="0" t="s">
        <v>3648</v>
      </c>
    </row>
    <row customHeight="1" ht="11.25">
      <c r="A228" s="0" t="s">
        <v>16</v>
      </c>
      <c r="B228" s="0" t="s">
        <v>3620</v>
      </c>
      <c r="C228" s="0" t="s">
        <v>3621</v>
      </c>
      <c r="D228" s="0" t="s">
        <v>3649</v>
      </c>
      <c r="E228" s="0" t="s">
        <v>3650</v>
      </c>
      <c r="F228" s="0" t="s">
        <v>3159</v>
      </c>
      <c r="G228" s="0" t="s">
        <v>3651</v>
      </c>
    </row>
    <row customHeight="1" ht="11.25">
      <c r="A229" s="0" t="s">
        <v>16</v>
      </c>
      <c r="B229" s="0" t="s">
        <v>3652</v>
      </c>
      <c r="C229" s="0" t="s">
        <v>3653</v>
      </c>
      <c r="D229" s="0" t="s">
        <v>3654</v>
      </c>
      <c r="E229" s="0" t="s">
        <v>3655</v>
      </c>
      <c r="F229" s="0" t="s">
        <v>3089</v>
      </c>
      <c r="G229" s="0" t="s">
        <v>3656</v>
      </c>
    </row>
    <row customHeight="1" ht="11.25">
      <c r="A230" s="0" t="s">
        <v>16</v>
      </c>
      <c r="B230" s="0" t="s">
        <v>3652</v>
      </c>
      <c r="C230" s="0" t="s">
        <v>3653</v>
      </c>
      <c r="D230" s="0" t="s">
        <v>3657</v>
      </c>
      <c r="E230" s="0" t="s">
        <v>3658</v>
      </c>
      <c r="F230" s="0" t="s">
        <v>3089</v>
      </c>
      <c r="G230" s="0" t="s">
        <v>3659</v>
      </c>
    </row>
    <row customHeight="1" ht="11.25">
      <c r="A231" s="0" t="s">
        <v>16</v>
      </c>
      <c r="B231" s="0" t="s">
        <v>3652</v>
      </c>
      <c r="C231" s="0" t="s">
        <v>3653</v>
      </c>
      <c r="D231" s="0" t="s">
        <v>3660</v>
      </c>
      <c r="E231" s="0" t="s">
        <v>3661</v>
      </c>
      <c r="F231" s="0" t="s">
        <v>3089</v>
      </c>
      <c r="G231" s="0" t="s">
        <v>3662</v>
      </c>
    </row>
    <row customHeight="1" ht="11.25">
      <c r="A232" s="0" t="s">
        <v>16</v>
      </c>
      <c r="B232" s="0" t="s">
        <v>3652</v>
      </c>
      <c r="C232" s="0" t="s">
        <v>3653</v>
      </c>
      <c r="D232" s="0" t="s">
        <v>3663</v>
      </c>
      <c r="E232" s="0" t="s">
        <v>3664</v>
      </c>
      <c r="F232" s="0" t="s">
        <v>3089</v>
      </c>
      <c r="G232" s="0" t="s">
        <v>3665</v>
      </c>
    </row>
    <row customHeight="1" ht="11.25">
      <c r="A233" s="0" t="s">
        <v>16</v>
      </c>
      <c r="B233" s="0" t="s">
        <v>3652</v>
      </c>
      <c r="C233" s="0" t="s">
        <v>3653</v>
      </c>
      <c r="D233" s="0" t="s">
        <v>3666</v>
      </c>
      <c r="E233" s="0" t="s">
        <v>3667</v>
      </c>
      <c r="F233" s="0" t="s">
        <v>3089</v>
      </c>
      <c r="G233" s="0" t="s">
        <v>3668</v>
      </c>
    </row>
    <row customHeight="1" ht="11.25">
      <c r="A234" s="0" t="s">
        <v>16</v>
      </c>
      <c r="B234" s="0" t="s">
        <v>3652</v>
      </c>
      <c r="C234" s="0" t="s">
        <v>3653</v>
      </c>
      <c r="D234" s="0" t="s">
        <v>3669</v>
      </c>
      <c r="E234" s="0" t="s">
        <v>3670</v>
      </c>
      <c r="F234" s="0" t="s">
        <v>3089</v>
      </c>
      <c r="G234" s="0" t="s">
        <v>3671</v>
      </c>
    </row>
    <row customHeight="1" ht="11.25">
      <c r="A235" s="0" t="s">
        <v>16</v>
      </c>
      <c r="B235" s="0" t="s">
        <v>3652</v>
      </c>
      <c r="C235" s="0" t="s">
        <v>3653</v>
      </c>
      <c r="D235" s="0" t="s">
        <v>3235</v>
      </c>
      <c r="E235" s="0" t="s">
        <v>3672</v>
      </c>
      <c r="F235" s="0" t="s">
        <v>3089</v>
      </c>
      <c r="G235" s="0" t="s">
        <v>3673</v>
      </c>
    </row>
    <row customHeight="1" ht="11.25">
      <c r="A236" s="0" t="s">
        <v>16</v>
      </c>
      <c r="B236" s="0" t="s">
        <v>3652</v>
      </c>
      <c r="C236" s="0" t="s">
        <v>3653</v>
      </c>
      <c r="D236" s="0" t="s">
        <v>3674</v>
      </c>
      <c r="E236" s="0" t="s">
        <v>3675</v>
      </c>
      <c r="F236" s="0" t="s">
        <v>3089</v>
      </c>
      <c r="G236" s="0" t="s">
        <v>3676</v>
      </c>
    </row>
    <row customHeight="1" ht="11.25">
      <c r="A237" s="0" t="s">
        <v>16</v>
      </c>
      <c r="B237" s="0" t="s">
        <v>3652</v>
      </c>
      <c r="C237" s="0" t="s">
        <v>3653</v>
      </c>
      <c r="D237" s="0" t="s">
        <v>3677</v>
      </c>
      <c r="E237" s="0" t="s">
        <v>3678</v>
      </c>
      <c r="F237" s="0" t="s">
        <v>3089</v>
      </c>
      <c r="G237" s="0" t="s">
        <v>3679</v>
      </c>
    </row>
    <row customHeight="1" ht="11.25">
      <c r="A238" s="0" t="s">
        <v>16</v>
      </c>
      <c r="B238" s="0" t="s">
        <v>3652</v>
      </c>
      <c r="C238" s="0" t="s">
        <v>3653</v>
      </c>
      <c r="D238" s="0" t="s">
        <v>3680</v>
      </c>
      <c r="E238" s="0" t="s">
        <v>3681</v>
      </c>
      <c r="F238" s="0" t="s">
        <v>3089</v>
      </c>
      <c r="G238" s="0" t="s">
        <v>3682</v>
      </c>
    </row>
    <row customHeight="1" ht="11.25">
      <c r="A239" s="0" t="s">
        <v>16</v>
      </c>
      <c r="B239" s="0" t="s">
        <v>3652</v>
      </c>
      <c r="C239" s="0" t="s">
        <v>3653</v>
      </c>
      <c r="D239" s="0" t="s">
        <v>3683</v>
      </c>
      <c r="E239" s="0" t="s">
        <v>3684</v>
      </c>
      <c r="F239" s="0" t="s">
        <v>3089</v>
      </c>
      <c r="G239" s="0" t="s">
        <v>3685</v>
      </c>
    </row>
    <row customHeight="1" ht="11.25">
      <c r="A240" s="0" t="s">
        <v>16</v>
      </c>
      <c r="B240" s="0" t="s">
        <v>3652</v>
      </c>
      <c r="C240" s="0" t="s">
        <v>3653</v>
      </c>
      <c r="D240" s="0" t="s">
        <v>3686</v>
      </c>
      <c r="E240" s="0" t="s">
        <v>3687</v>
      </c>
      <c r="F240" s="0" t="s">
        <v>3089</v>
      </c>
      <c r="G240" s="0" t="s">
        <v>3688</v>
      </c>
    </row>
    <row customHeight="1" ht="11.25">
      <c r="A241" s="0" t="s">
        <v>16</v>
      </c>
      <c r="B241" s="0" t="s">
        <v>3652</v>
      </c>
      <c r="C241" s="0" t="s">
        <v>3653</v>
      </c>
      <c r="D241" s="0" t="s">
        <v>3652</v>
      </c>
      <c r="E241" s="0" t="s">
        <v>3653</v>
      </c>
      <c r="F241" s="0" t="s">
        <v>3090</v>
      </c>
      <c r="G241" s="0" t="s">
        <v>3689</v>
      </c>
    </row>
    <row customHeight="1" ht="11.25">
      <c r="A242" s="0" t="s">
        <v>16</v>
      </c>
      <c r="B242" s="0" t="s">
        <v>3652</v>
      </c>
      <c r="C242" s="0" t="s">
        <v>3653</v>
      </c>
      <c r="D242" s="0" t="s">
        <v>3246</v>
      </c>
      <c r="E242" s="0" t="s">
        <v>3690</v>
      </c>
      <c r="F242" s="0" t="s">
        <v>3089</v>
      </c>
      <c r="G242" s="0" t="s">
        <v>3691</v>
      </c>
    </row>
    <row customHeight="1" ht="11.25">
      <c r="A243" s="0" t="s">
        <v>16</v>
      </c>
      <c r="B243" s="0" t="s">
        <v>3652</v>
      </c>
      <c r="C243" s="0" t="s">
        <v>3653</v>
      </c>
      <c r="D243" s="0" t="s">
        <v>3692</v>
      </c>
      <c r="E243" s="0" t="s">
        <v>3693</v>
      </c>
      <c r="F243" s="0" t="s">
        <v>3089</v>
      </c>
      <c r="G243" s="0" t="s">
        <v>3694</v>
      </c>
    </row>
    <row customHeight="1" ht="11.25">
      <c r="A244" s="0" t="s">
        <v>16</v>
      </c>
      <c r="B244" s="0" t="s">
        <v>3652</v>
      </c>
      <c r="C244" s="0" t="s">
        <v>3653</v>
      </c>
      <c r="D244" s="0" t="s">
        <v>3695</v>
      </c>
      <c r="E244" s="0" t="s">
        <v>3696</v>
      </c>
      <c r="F244" s="0" t="s">
        <v>3214</v>
      </c>
      <c r="G244" s="0" t="s">
        <v>3697</v>
      </c>
    </row>
    <row customHeight="1" ht="11.25">
      <c r="A245" s="0" t="s">
        <v>16</v>
      </c>
      <c r="B245" s="0" t="s">
        <v>3698</v>
      </c>
      <c r="C245" s="0" t="s">
        <v>3699</v>
      </c>
      <c r="D245" s="0" t="s">
        <v>3700</v>
      </c>
      <c r="E245" s="0" t="s">
        <v>3701</v>
      </c>
      <c r="F245" s="0" t="s">
        <v>3089</v>
      </c>
      <c r="G245" s="0" t="s">
        <v>3702</v>
      </c>
    </row>
    <row customHeight="1" ht="11.25">
      <c r="A246" s="0" t="s">
        <v>16</v>
      </c>
      <c r="B246" s="0" t="s">
        <v>3698</v>
      </c>
      <c r="C246" s="0" t="s">
        <v>3699</v>
      </c>
      <c r="D246" s="0" t="s">
        <v>3703</v>
      </c>
      <c r="E246" s="0" t="s">
        <v>3704</v>
      </c>
      <c r="F246" s="0" t="s">
        <v>3089</v>
      </c>
      <c r="G246" s="0" t="s">
        <v>3705</v>
      </c>
    </row>
    <row customHeight="1" ht="11.25">
      <c r="A247" s="0" t="s">
        <v>16</v>
      </c>
      <c r="B247" s="0" t="s">
        <v>3698</v>
      </c>
      <c r="C247" s="0" t="s">
        <v>3699</v>
      </c>
      <c r="D247" s="0" t="s">
        <v>3706</v>
      </c>
      <c r="E247" s="0" t="s">
        <v>3707</v>
      </c>
      <c r="F247" s="0" t="s">
        <v>3089</v>
      </c>
      <c r="G247" s="0" t="s">
        <v>3708</v>
      </c>
    </row>
    <row customHeight="1" ht="11.25">
      <c r="A248" s="0" t="s">
        <v>16</v>
      </c>
      <c r="B248" s="0" t="s">
        <v>3698</v>
      </c>
      <c r="C248" s="0" t="s">
        <v>3699</v>
      </c>
      <c r="D248" s="0" t="s">
        <v>3308</v>
      </c>
      <c r="E248" s="0" t="s">
        <v>3709</v>
      </c>
      <c r="F248" s="0" t="s">
        <v>3089</v>
      </c>
      <c r="G248" s="0" t="s">
        <v>3710</v>
      </c>
    </row>
    <row customHeight="1" ht="11.25">
      <c r="A249" s="0" t="s">
        <v>16</v>
      </c>
      <c r="B249" s="0" t="s">
        <v>3698</v>
      </c>
      <c r="C249" s="0" t="s">
        <v>3699</v>
      </c>
      <c r="D249" s="0" t="s">
        <v>3711</v>
      </c>
      <c r="E249" s="0" t="s">
        <v>3712</v>
      </c>
      <c r="F249" s="0" t="s">
        <v>3089</v>
      </c>
      <c r="G249" s="0" t="s">
        <v>3713</v>
      </c>
    </row>
    <row customHeight="1" ht="11.25">
      <c r="A250" s="0" t="s">
        <v>16</v>
      </c>
      <c r="B250" s="0" t="s">
        <v>3698</v>
      </c>
      <c r="C250" s="0" t="s">
        <v>3699</v>
      </c>
      <c r="D250" s="0" t="s">
        <v>3317</v>
      </c>
      <c r="E250" s="0" t="s">
        <v>3714</v>
      </c>
      <c r="F250" s="0" t="s">
        <v>3089</v>
      </c>
      <c r="G250" s="0" t="s">
        <v>3715</v>
      </c>
    </row>
    <row customHeight="1" ht="11.25">
      <c r="A251" s="0" t="s">
        <v>16</v>
      </c>
      <c r="B251" s="0" t="s">
        <v>3698</v>
      </c>
      <c r="C251" s="0" t="s">
        <v>3699</v>
      </c>
      <c r="D251" s="0" t="s">
        <v>3716</v>
      </c>
      <c r="E251" s="0" t="s">
        <v>3717</v>
      </c>
      <c r="F251" s="0" t="s">
        <v>3089</v>
      </c>
      <c r="G251" s="0" t="s">
        <v>3718</v>
      </c>
    </row>
    <row customHeight="1" ht="11.25">
      <c r="A252" s="0" t="s">
        <v>16</v>
      </c>
      <c r="B252" s="0" t="s">
        <v>3698</v>
      </c>
      <c r="C252" s="0" t="s">
        <v>3699</v>
      </c>
      <c r="D252" s="0" t="s">
        <v>3719</v>
      </c>
      <c r="E252" s="0" t="s">
        <v>3720</v>
      </c>
      <c r="F252" s="0" t="s">
        <v>3089</v>
      </c>
      <c r="G252" s="0" t="s">
        <v>3721</v>
      </c>
    </row>
    <row customHeight="1" ht="11.25">
      <c r="A253" s="0" t="s">
        <v>16</v>
      </c>
      <c r="B253" s="0" t="s">
        <v>3698</v>
      </c>
      <c r="C253" s="0" t="s">
        <v>3699</v>
      </c>
      <c r="D253" s="0" t="s">
        <v>3722</v>
      </c>
      <c r="E253" s="0" t="s">
        <v>3723</v>
      </c>
      <c r="F253" s="0" t="s">
        <v>3089</v>
      </c>
      <c r="G253" s="0" t="s">
        <v>3724</v>
      </c>
    </row>
    <row customHeight="1" ht="11.25">
      <c r="A254" s="0" t="s">
        <v>16</v>
      </c>
      <c r="B254" s="0" t="s">
        <v>3698</v>
      </c>
      <c r="C254" s="0" t="s">
        <v>3699</v>
      </c>
      <c r="D254" s="0" t="s">
        <v>3698</v>
      </c>
      <c r="E254" s="0" t="s">
        <v>3699</v>
      </c>
      <c r="F254" s="0" t="s">
        <v>3090</v>
      </c>
      <c r="G254" s="0" t="s">
        <v>3725</v>
      </c>
    </row>
    <row customHeight="1" ht="11.25">
      <c r="A255" s="0" t="s">
        <v>16</v>
      </c>
      <c r="B255" s="0" t="s">
        <v>3698</v>
      </c>
      <c r="C255" s="0" t="s">
        <v>3699</v>
      </c>
      <c r="D255" s="0" t="s">
        <v>3726</v>
      </c>
      <c r="E255" s="0" t="s">
        <v>3727</v>
      </c>
      <c r="F255" s="0" t="s">
        <v>3089</v>
      </c>
      <c r="G255" s="0" t="s">
        <v>3728</v>
      </c>
    </row>
    <row customHeight="1" ht="11.25">
      <c r="A256" s="0" t="s">
        <v>16</v>
      </c>
      <c r="B256" s="0" t="s">
        <v>3698</v>
      </c>
      <c r="C256" s="0" t="s">
        <v>3699</v>
      </c>
      <c r="D256" s="0" t="s">
        <v>3729</v>
      </c>
      <c r="E256" s="0" t="s">
        <v>3730</v>
      </c>
      <c r="F256" s="0" t="s">
        <v>3159</v>
      </c>
      <c r="G256" s="0" t="s">
        <v>3731</v>
      </c>
    </row>
    <row customHeight="1" ht="11.25">
      <c r="A257" s="0" t="s">
        <v>16</v>
      </c>
      <c r="B257" s="0" t="s">
        <v>3732</v>
      </c>
      <c r="C257" s="0" t="s">
        <v>3733</v>
      </c>
      <c r="D257" s="0" t="s">
        <v>3734</v>
      </c>
      <c r="E257" s="0" t="s">
        <v>3735</v>
      </c>
      <c r="F257" s="0" t="s">
        <v>3089</v>
      </c>
      <c r="G257" s="0" t="s">
        <v>3736</v>
      </c>
    </row>
    <row customHeight="1" ht="11.25">
      <c r="A258" s="0" t="s">
        <v>16</v>
      </c>
      <c r="B258" s="0" t="s">
        <v>3732</v>
      </c>
      <c r="C258" s="0" t="s">
        <v>3733</v>
      </c>
      <c r="D258" s="0" t="s">
        <v>3737</v>
      </c>
      <c r="E258" s="0" t="s">
        <v>3738</v>
      </c>
      <c r="F258" s="0" t="s">
        <v>3089</v>
      </c>
      <c r="G258" s="0" t="s">
        <v>3739</v>
      </c>
    </row>
    <row customHeight="1" ht="11.25">
      <c r="A259" s="0" t="s">
        <v>16</v>
      </c>
      <c r="B259" s="0" t="s">
        <v>3732</v>
      </c>
      <c r="C259" s="0" t="s">
        <v>3733</v>
      </c>
      <c r="D259" s="0" t="s">
        <v>3660</v>
      </c>
      <c r="E259" s="0" t="s">
        <v>3740</v>
      </c>
      <c r="F259" s="0" t="s">
        <v>3089</v>
      </c>
      <c r="G259" s="0" t="s">
        <v>3741</v>
      </c>
    </row>
    <row customHeight="1" ht="11.25">
      <c r="A260" s="0" t="s">
        <v>16</v>
      </c>
      <c r="B260" s="0" t="s">
        <v>3732</v>
      </c>
      <c r="C260" s="0" t="s">
        <v>3733</v>
      </c>
      <c r="D260" s="0" t="s">
        <v>3732</v>
      </c>
      <c r="E260" s="0" t="s">
        <v>3733</v>
      </c>
      <c r="F260" s="0" t="s">
        <v>3090</v>
      </c>
      <c r="G260" s="0" t="s">
        <v>3742</v>
      </c>
    </row>
    <row customHeight="1" ht="11.25">
      <c r="A261" s="0" t="s">
        <v>16</v>
      </c>
      <c r="B261" s="0" t="s">
        <v>3732</v>
      </c>
      <c r="C261" s="0" t="s">
        <v>3733</v>
      </c>
      <c r="D261" s="0" t="s">
        <v>3743</v>
      </c>
      <c r="E261" s="0" t="s">
        <v>3744</v>
      </c>
      <c r="F261" s="0" t="s">
        <v>3089</v>
      </c>
      <c r="G261" s="0" t="s">
        <v>3745</v>
      </c>
    </row>
    <row customHeight="1" ht="11.25">
      <c r="A262" s="0" t="s">
        <v>16</v>
      </c>
      <c r="B262" s="0" t="s">
        <v>3732</v>
      </c>
      <c r="C262" s="0" t="s">
        <v>3733</v>
      </c>
      <c r="D262" s="0" t="s">
        <v>3746</v>
      </c>
      <c r="E262" s="0" t="s">
        <v>3747</v>
      </c>
      <c r="F262" s="0" t="s">
        <v>3089</v>
      </c>
      <c r="G262" s="0" t="s">
        <v>3748</v>
      </c>
    </row>
    <row customHeight="1" ht="11.25">
      <c r="A263" s="0" t="s">
        <v>16</v>
      </c>
      <c r="B263" s="0" t="s">
        <v>3732</v>
      </c>
      <c r="C263" s="0" t="s">
        <v>3733</v>
      </c>
      <c r="D263" s="0" t="s">
        <v>178</v>
      </c>
      <c r="E263" s="0" t="s">
        <v>3749</v>
      </c>
      <c r="F263" s="0" t="s">
        <v>3089</v>
      </c>
      <c r="G263" s="0" t="s">
        <v>3750</v>
      </c>
    </row>
    <row customHeight="1" ht="11.25">
      <c r="A264" s="0" t="s">
        <v>16</v>
      </c>
      <c r="B264" s="0" t="s">
        <v>3732</v>
      </c>
      <c r="C264" s="0" t="s">
        <v>3733</v>
      </c>
      <c r="D264" s="0" t="s">
        <v>3751</v>
      </c>
      <c r="E264" s="0" t="s">
        <v>3752</v>
      </c>
      <c r="F264" s="0" t="s">
        <v>3159</v>
      </c>
      <c r="G264" s="0" t="s">
        <v>3753</v>
      </c>
    </row>
    <row customHeight="1" ht="11.25">
      <c r="A265" s="0" t="s">
        <v>16</v>
      </c>
      <c r="B265" s="0" t="s">
        <v>3754</v>
      </c>
      <c r="C265" s="0" t="s">
        <v>3755</v>
      </c>
      <c r="D265" s="0" t="s">
        <v>3756</v>
      </c>
      <c r="E265" s="0" t="s">
        <v>3757</v>
      </c>
      <c r="F265" s="0" t="s">
        <v>3089</v>
      </c>
      <c r="G265" s="0" t="s">
        <v>3758</v>
      </c>
    </row>
    <row customHeight="1" ht="11.25">
      <c r="A266" s="0" t="s">
        <v>16</v>
      </c>
      <c r="B266" s="0" t="s">
        <v>3754</v>
      </c>
      <c r="C266" s="0" t="s">
        <v>3755</v>
      </c>
      <c r="D266" s="0" t="s">
        <v>3759</v>
      </c>
      <c r="E266" s="0" t="s">
        <v>3760</v>
      </c>
      <c r="F266" s="0" t="s">
        <v>3089</v>
      </c>
      <c r="G266" s="0" t="s">
        <v>3761</v>
      </c>
    </row>
    <row customHeight="1" ht="11.25">
      <c r="A267" s="0" t="s">
        <v>16</v>
      </c>
      <c r="B267" s="0" t="s">
        <v>3754</v>
      </c>
      <c r="C267" s="0" t="s">
        <v>3755</v>
      </c>
      <c r="D267" s="0" t="s">
        <v>3762</v>
      </c>
      <c r="E267" s="0" t="s">
        <v>3763</v>
      </c>
      <c r="F267" s="0" t="s">
        <v>3089</v>
      </c>
      <c r="G267" s="0" t="s">
        <v>3764</v>
      </c>
    </row>
    <row customHeight="1" ht="11.25">
      <c r="A268" s="0" t="s">
        <v>16</v>
      </c>
      <c r="B268" s="0" t="s">
        <v>3754</v>
      </c>
      <c r="C268" s="0" t="s">
        <v>3755</v>
      </c>
      <c r="D268" s="0" t="s">
        <v>3765</v>
      </c>
      <c r="E268" s="0" t="s">
        <v>3766</v>
      </c>
      <c r="F268" s="0" t="s">
        <v>3089</v>
      </c>
      <c r="G268" s="0" t="s">
        <v>3767</v>
      </c>
    </row>
    <row customHeight="1" ht="11.25">
      <c r="A269" s="0" t="s">
        <v>16</v>
      </c>
      <c r="B269" s="0" t="s">
        <v>3754</v>
      </c>
      <c r="C269" s="0" t="s">
        <v>3755</v>
      </c>
      <c r="D269" s="0" t="s">
        <v>3768</v>
      </c>
      <c r="E269" s="0" t="s">
        <v>3769</v>
      </c>
      <c r="F269" s="0" t="s">
        <v>3089</v>
      </c>
      <c r="G269" s="0" t="s">
        <v>3770</v>
      </c>
    </row>
    <row customHeight="1" ht="11.25">
      <c r="A270" s="0" t="s">
        <v>16</v>
      </c>
      <c r="B270" s="0" t="s">
        <v>3754</v>
      </c>
      <c r="C270" s="0" t="s">
        <v>3755</v>
      </c>
      <c r="D270" s="0" t="s">
        <v>3771</v>
      </c>
      <c r="E270" s="0" t="s">
        <v>3772</v>
      </c>
      <c r="F270" s="0" t="s">
        <v>3089</v>
      </c>
      <c r="G270" s="0" t="s">
        <v>3773</v>
      </c>
    </row>
    <row customHeight="1" ht="11.25">
      <c r="A271" s="0" t="s">
        <v>16</v>
      </c>
      <c r="B271" s="0" t="s">
        <v>3754</v>
      </c>
      <c r="C271" s="0" t="s">
        <v>3755</v>
      </c>
      <c r="D271" s="0" t="s">
        <v>3774</v>
      </c>
      <c r="E271" s="0" t="s">
        <v>3775</v>
      </c>
      <c r="F271" s="0" t="s">
        <v>3089</v>
      </c>
      <c r="G271" s="0" t="s">
        <v>3776</v>
      </c>
    </row>
    <row customHeight="1" ht="11.25">
      <c r="A272" s="0" t="s">
        <v>16</v>
      </c>
      <c r="B272" s="0" t="s">
        <v>3754</v>
      </c>
      <c r="C272" s="0" t="s">
        <v>3755</v>
      </c>
      <c r="D272" s="0" t="s">
        <v>3777</v>
      </c>
      <c r="E272" s="0" t="s">
        <v>3778</v>
      </c>
      <c r="F272" s="0" t="s">
        <v>3089</v>
      </c>
      <c r="G272" s="0" t="s">
        <v>3779</v>
      </c>
    </row>
    <row customHeight="1" ht="11.25">
      <c r="A273" s="0" t="s">
        <v>16</v>
      </c>
      <c r="B273" s="0" t="s">
        <v>3754</v>
      </c>
      <c r="C273" s="0" t="s">
        <v>3755</v>
      </c>
      <c r="D273" s="0" t="s">
        <v>3780</v>
      </c>
      <c r="E273" s="0" t="s">
        <v>3781</v>
      </c>
      <c r="F273" s="0" t="s">
        <v>3089</v>
      </c>
      <c r="G273" s="0" t="s">
        <v>3782</v>
      </c>
    </row>
    <row customHeight="1" ht="11.25">
      <c r="A274" s="0" t="s">
        <v>16</v>
      </c>
      <c r="B274" s="0" t="s">
        <v>3754</v>
      </c>
      <c r="C274" s="0" t="s">
        <v>3755</v>
      </c>
      <c r="D274" s="0" t="s">
        <v>3783</v>
      </c>
      <c r="E274" s="0" t="s">
        <v>3784</v>
      </c>
      <c r="F274" s="0" t="s">
        <v>3089</v>
      </c>
      <c r="G274" s="0" t="s">
        <v>3785</v>
      </c>
    </row>
    <row customHeight="1" ht="11.25">
      <c r="A275" s="0" t="s">
        <v>16</v>
      </c>
      <c r="B275" s="0" t="s">
        <v>3754</v>
      </c>
      <c r="C275" s="0" t="s">
        <v>3755</v>
      </c>
      <c r="D275" s="0" t="s">
        <v>3786</v>
      </c>
      <c r="E275" s="0" t="s">
        <v>3787</v>
      </c>
      <c r="F275" s="0" t="s">
        <v>3089</v>
      </c>
      <c r="G275" s="0" t="s">
        <v>3788</v>
      </c>
    </row>
    <row customHeight="1" ht="11.25">
      <c r="A276" s="0" t="s">
        <v>16</v>
      </c>
      <c r="B276" s="0" t="s">
        <v>3754</v>
      </c>
      <c r="C276" s="0" t="s">
        <v>3755</v>
      </c>
      <c r="D276" s="0" t="s">
        <v>3789</v>
      </c>
      <c r="E276" s="0" t="s">
        <v>3790</v>
      </c>
      <c r="F276" s="0" t="s">
        <v>3089</v>
      </c>
      <c r="G276" s="0" t="s">
        <v>3791</v>
      </c>
    </row>
    <row customHeight="1" ht="11.25">
      <c r="A277" s="0" t="s">
        <v>16</v>
      </c>
      <c r="B277" s="0" t="s">
        <v>3754</v>
      </c>
      <c r="C277" s="0" t="s">
        <v>3755</v>
      </c>
      <c r="D277" s="0" t="s">
        <v>3792</v>
      </c>
      <c r="E277" s="0" t="s">
        <v>3793</v>
      </c>
      <c r="F277" s="0" t="s">
        <v>3089</v>
      </c>
      <c r="G277" s="0" t="s">
        <v>3794</v>
      </c>
    </row>
    <row customHeight="1" ht="11.25">
      <c r="A278" s="0" t="s">
        <v>16</v>
      </c>
      <c r="B278" s="0" t="s">
        <v>3754</v>
      </c>
      <c r="C278" s="0" t="s">
        <v>3755</v>
      </c>
      <c r="D278" s="0" t="s">
        <v>3795</v>
      </c>
      <c r="E278" s="0" t="s">
        <v>3796</v>
      </c>
      <c r="F278" s="0" t="s">
        <v>3089</v>
      </c>
      <c r="G278" s="0" t="s">
        <v>3797</v>
      </c>
    </row>
    <row customHeight="1" ht="11.25">
      <c r="A279" s="0" t="s">
        <v>16</v>
      </c>
      <c r="B279" s="0" t="s">
        <v>3754</v>
      </c>
      <c r="C279" s="0" t="s">
        <v>3755</v>
      </c>
      <c r="D279" s="0" t="s">
        <v>3798</v>
      </c>
      <c r="E279" s="0" t="s">
        <v>3799</v>
      </c>
      <c r="F279" s="0" t="s">
        <v>3089</v>
      </c>
      <c r="G279" s="0" t="s">
        <v>3800</v>
      </c>
    </row>
    <row customHeight="1" ht="11.25">
      <c r="A280" s="0" t="s">
        <v>16</v>
      </c>
      <c r="B280" s="0" t="s">
        <v>3754</v>
      </c>
      <c r="C280" s="0" t="s">
        <v>3755</v>
      </c>
      <c r="D280" s="0" t="s">
        <v>3754</v>
      </c>
      <c r="E280" s="0" t="s">
        <v>3755</v>
      </c>
      <c r="F280" s="0" t="s">
        <v>3090</v>
      </c>
      <c r="G280" s="0" t="s">
        <v>3801</v>
      </c>
    </row>
    <row customHeight="1" ht="11.25">
      <c r="A281" s="0" t="s">
        <v>16</v>
      </c>
      <c r="B281" s="0" t="s">
        <v>3754</v>
      </c>
      <c r="C281" s="0" t="s">
        <v>3755</v>
      </c>
      <c r="D281" s="0" t="s">
        <v>3802</v>
      </c>
      <c r="E281" s="0" t="s">
        <v>3803</v>
      </c>
      <c r="F281" s="0" t="s">
        <v>3089</v>
      </c>
      <c r="G281" s="0" t="s">
        <v>3804</v>
      </c>
    </row>
    <row customHeight="1" ht="11.25">
      <c r="A282" s="0" t="s">
        <v>16</v>
      </c>
      <c r="B282" s="0" t="s">
        <v>3754</v>
      </c>
      <c r="C282" s="0" t="s">
        <v>3755</v>
      </c>
      <c r="D282" s="0" t="s">
        <v>3805</v>
      </c>
      <c r="E282" s="0" t="s">
        <v>3806</v>
      </c>
      <c r="F282" s="0" t="s">
        <v>3214</v>
      </c>
      <c r="G282" s="0" t="s">
        <v>3807</v>
      </c>
    </row>
    <row customHeight="1" ht="11.25">
      <c r="A283" s="0" t="s">
        <v>16</v>
      </c>
      <c r="B283" s="0" t="s">
        <v>3808</v>
      </c>
      <c r="C283" s="0" t="s">
        <v>3809</v>
      </c>
      <c r="D283" s="0" t="s">
        <v>3810</v>
      </c>
      <c r="E283" s="0" t="s">
        <v>3811</v>
      </c>
      <c r="F283" s="0" t="s">
        <v>3089</v>
      </c>
      <c r="G283" s="0" t="s">
        <v>3812</v>
      </c>
    </row>
    <row customHeight="1" ht="11.25">
      <c r="A284" s="0" t="s">
        <v>16</v>
      </c>
      <c r="B284" s="0" t="s">
        <v>3808</v>
      </c>
      <c r="C284" s="0" t="s">
        <v>3809</v>
      </c>
      <c r="D284" s="0" t="s">
        <v>3813</v>
      </c>
      <c r="E284" s="0" t="s">
        <v>3814</v>
      </c>
      <c r="F284" s="0" t="s">
        <v>3089</v>
      </c>
      <c r="G284" s="0" t="s">
        <v>3815</v>
      </c>
    </row>
    <row customHeight="1" ht="11.25">
      <c r="A285" s="0" t="s">
        <v>16</v>
      </c>
      <c r="B285" s="0" t="s">
        <v>3808</v>
      </c>
      <c r="C285" s="0" t="s">
        <v>3809</v>
      </c>
      <c r="D285" s="0" t="s">
        <v>3816</v>
      </c>
      <c r="E285" s="0" t="s">
        <v>3817</v>
      </c>
      <c r="F285" s="0" t="s">
        <v>3089</v>
      </c>
      <c r="G285" s="0" t="s">
        <v>3818</v>
      </c>
    </row>
    <row customHeight="1" ht="11.25">
      <c r="A286" s="0" t="s">
        <v>16</v>
      </c>
      <c r="B286" s="0" t="s">
        <v>3808</v>
      </c>
      <c r="C286" s="0" t="s">
        <v>3809</v>
      </c>
      <c r="D286" s="0" t="s">
        <v>3317</v>
      </c>
      <c r="E286" s="0" t="s">
        <v>3819</v>
      </c>
      <c r="F286" s="0" t="s">
        <v>3089</v>
      </c>
      <c r="G286" s="0" t="s">
        <v>3820</v>
      </c>
    </row>
    <row customHeight="1" ht="11.25">
      <c r="A287" s="0" t="s">
        <v>16</v>
      </c>
      <c r="B287" s="0" t="s">
        <v>3808</v>
      </c>
      <c r="C287" s="0" t="s">
        <v>3809</v>
      </c>
      <c r="D287" s="0" t="s">
        <v>3821</v>
      </c>
      <c r="E287" s="0" t="s">
        <v>3822</v>
      </c>
      <c r="F287" s="0" t="s">
        <v>3089</v>
      </c>
      <c r="G287" s="0" t="s">
        <v>3823</v>
      </c>
    </row>
    <row customHeight="1" ht="11.25">
      <c r="A288" s="0" t="s">
        <v>16</v>
      </c>
      <c r="B288" s="0" t="s">
        <v>3808</v>
      </c>
      <c r="C288" s="0" t="s">
        <v>3809</v>
      </c>
      <c r="D288" s="0" t="s">
        <v>3824</v>
      </c>
      <c r="E288" s="0" t="s">
        <v>3825</v>
      </c>
      <c r="F288" s="0" t="s">
        <v>3089</v>
      </c>
      <c r="G288" s="0" t="s">
        <v>3826</v>
      </c>
    </row>
    <row customHeight="1" ht="11.25">
      <c r="A289" s="0" t="s">
        <v>16</v>
      </c>
      <c r="B289" s="0" t="s">
        <v>3808</v>
      </c>
      <c r="C289" s="0" t="s">
        <v>3809</v>
      </c>
      <c r="D289" s="0" t="s">
        <v>3808</v>
      </c>
      <c r="E289" s="0" t="s">
        <v>3809</v>
      </c>
      <c r="F289" s="0" t="s">
        <v>3090</v>
      </c>
      <c r="G289" s="0" t="s">
        <v>3827</v>
      </c>
    </row>
    <row customHeight="1" ht="11.25">
      <c r="A290" s="0" t="s">
        <v>16</v>
      </c>
      <c r="B290" s="0" t="s">
        <v>3808</v>
      </c>
      <c r="C290" s="0" t="s">
        <v>3809</v>
      </c>
      <c r="D290" s="0" t="s">
        <v>3828</v>
      </c>
      <c r="E290" s="0" t="s">
        <v>3829</v>
      </c>
      <c r="F290" s="0" t="s">
        <v>3089</v>
      </c>
      <c r="G290" s="0" t="s">
        <v>3830</v>
      </c>
    </row>
    <row customHeight="1" ht="11.25">
      <c r="A291" s="0" t="s">
        <v>16</v>
      </c>
      <c r="B291" s="0" t="s">
        <v>3808</v>
      </c>
      <c r="C291" s="0" t="s">
        <v>3809</v>
      </c>
      <c r="D291" s="0" t="s">
        <v>3326</v>
      </c>
      <c r="E291" s="0" t="s">
        <v>3831</v>
      </c>
      <c r="F291" s="0" t="s">
        <v>3089</v>
      </c>
      <c r="G291" s="0" t="s">
        <v>3832</v>
      </c>
    </row>
    <row customHeight="1" ht="11.25">
      <c r="A292" s="0" t="s">
        <v>16</v>
      </c>
      <c r="B292" s="0" t="s">
        <v>3808</v>
      </c>
      <c r="C292" s="0" t="s">
        <v>3809</v>
      </c>
      <c r="D292" s="0" t="s">
        <v>3833</v>
      </c>
      <c r="E292" s="0" t="s">
        <v>3834</v>
      </c>
      <c r="F292" s="0" t="s">
        <v>3159</v>
      </c>
      <c r="G292" s="0" t="s">
        <v>3835</v>
      </c>
    </row>
    <row customHeight="1" ht="11.25">
      <c r="A293" s="0" t="s">
        <v>16</v>
      </c>
      <c r="B293" s="0" t="s">
        <v>3836</v>
      </c>
      <c r="C293" s="0" t="s">
        <v>3837</v>
      </c>
      <c r="D293" s="0" t="s">
        <v>3838</v>
      </c>
      <c r="E293" s="0" t="s">
        <v>3839</v>
      </c>
      <c r="F293" s="0" t="s">
        <v>3089</v>
      </c>
      <c r="G293" s="0" t="s">
        <v>3840</v>
      </c>
    </row>
    <row customHeight="1" ht="11.25">
      <c r="A294" s="0" t="s">
        <v>16</v>
      </c>
      <c r="B294" s="0" t="s">
        <v>3836</v>
      </c>
      <c r="C294" s="0" t="s">
        <v>3837</v>
      </c>
      <c r="D294" s="0" t="s">
        <v>3841</v>
      </c>
      <c r="E294" s="0" t="s">
        <v>3842</v>
      </c>
      <c r="F294" s="0" t="s">
        <v>3089</v>
      </c>
      <c r="G294" s="0" t="s">
        <v>3843</v>
      </c>
    </row>
    <row customHeight="1" ht="11.25">
      <c r="A295" s="0" t="s">
        <v>16</v>
      </c>
      <c r="B295" s="0" t="s">
        <v>3836</v>
      </c>
      <c r="C295" s="0" t="s">
        <v>3837</v>
      </c>
      <c r="D295" s="0" t="s">
        <v>3844</v>
      </c>
      <c r="E295" s="0" t="s">
        <v>3845</v>
      </c>
      <c r="F295" s="0" t="s">
        <v>3089</v>
      </c>
      <c r="G295" s="0" t="s">
        <v>3846</v>
      </c>
    </row>
    <row customHeight="1" ht="11.25">
      <c r="A296" s="0" t="s">
        <v>16</v>
      </c>
      <c r="B296" s="0" t="s">
        <v>3836</v>
      </c>
      <c r="C296" s="0" t="s">
        <v>3837</v>
      </c>
      <c r="D296" s="0" t="s">
        <v>3847</v>
      </c>
      <c r="E296" s="0" t="s">
        <v>3848</v>
      </c>
      <c r="F296" s="0" t="s">
        <v>3089</v>
      </c>
      <c r="G296" s="0" t="s">
        <v>3849</v>
      </c>
    </row>
    <row customHeight="1" ht="11.25">
      <c r="A297" s="0" t="s">
        <v>16</v>
      </c>
      <c r="B297" s="0" t="s">
        <v>3836</v>
      </c>
      <c r="C297" s="0" t="s">
        <v>3837</v>
      </c>
      <c r="D297" s="0" t="s">
        <v>3850</v>
      </c>
      <c r="E297" s="0" t="s">
        <v>3851</v>
      </c>
      <c r="F297" s="0" t="s">
        <v>3089</v>
      </c>
      <c r="G297" s="0" t="s">
        <v>3852</v>
      </c>
    </row>
    <row customHeight="1" ht="11.25">
      <c r="A298" s="0" t="s">
        <v>16</v>
      </c>
      <c r="B298" s="0" t="s">
        <v>3836</v>
      </c>
      <c r="C298" s="0" t="s">
        <v>3837</v>
      </c>
      <c r="D298" s="0" t="s">
        <v>3853</v>
      </c>
      <c r="E298" s="0" t="s">
        <v>3854</v>
      </c>
      <c r="F298" s="0" t="s">
        <v>3089</v>
      </c>
      <c r="G298" s="0" t="s">
        <v>3855</v>
      </c>
    </row>
    <row customHeight="1" ht="11.25">
      <c r="A299" s="0" t="s">
        <v>16</v>
      </c>
      <c r="B299" s="0" t="s">
        <v>3836</v>
      </c>
      <c r="C299" s="0" t="s">
        <v>3837</v>
      </c>
      <c r="D299" s="0" t="s">
        <v>3856</v>
      </c>
      <c r="E299" s="0" t="s">
        <v>3857</v>
      </c>
      <c r="F299" s="0" t="s">
        <v>3089</v>
      </c>
      <c r="G299" s="0" t="s">
        <v>3858</v>
      </c>
    </row>
    <row customHeight="1" ht="11.25">
      <c r="A300" s="0" t="s">
        <v>16</v>
      </c>
      <c r="B300" s="0" t="s">
        <v>3836</v>
      </c>
      <c r="C300" s="0" t="s">
        <v>3837</v>
      </c>
      <c r="D300" s="0" t="s">
        <v>3859</v>
      </c>
      <c r="E300" s="0" t="s">
        <v>3860</v>
      </c>
      <c r="F300" s="0" t="s">
        <v>3089</v>
      </c>
      <c r="G300" s="0" t="s">
        <v>3861</v>
      </c>
    </row>
    <row customHeight="1" ht="11.25">
      <c r="A301" s="0" t="s">
        <v>16</v>
      </c>
      <c r="B301" s="0" t="s">
        <v>3836</v>
      </c>
      <c r="C301" s="0" t="s">
        <v>3837</v>
      </c>
      <c r="D301" s="0" t="s">
        <v>3862</v>
      </c>
      <c r="E301" s="0" t="s">
        <v>3863</v>
      </c>
      <c r="F301" s="0" t="s">
        <v>3089</v>
      </c>
      <c r="G301" s="0" t="s">
        <v>3864</v>
      </c>
    </row>
    <row customHeight="1" ht="11.25">
      <c r="A302" s="0" t="s">
        <v>16</v>
      </c>
      <c r="B302" s="0" t="s">
        <v>3836</v>
      </c>
      <c r="C302" s="0" t="s">
        <v>3837</v>
      </c>
      <c r="D302" s="0" t="s">
        <v>3180</v>
      </c>
      <c r="E302" s="0" t="s">
        <v>3865</v>
      </c>
      <c r="F302" s="0" t="s">
        <v>3089</v>
      </c>
      <c r="G302" s="0" t="s">
        <v>3866</v>
      </c>
    </row>
    <row customHeight="1" ht="11.25">
      <c r="A303" s="0" t="s">
        <v>16</v>
      </c>
      <c r="B303" s="0" t="s">
        <v>3836</v>
      </c>
      <c r="C303" s="0" t="s">
        <v>3837</v>
      </c>
      <c r="D303" s="0" t="s">
        <v>3836</v>
      </c>
      <c r="E303" s="0" t="s">
        <v>3837</v>
      </c>
      <c r="F303" s="0" t="s">
        <v>3090</v>
      </c>
      <c r="G303" s="0" t="s">
        <v>3867</v>
      </c>
    </row>
    <row customHeight="1" ht="11.25">
      <c r="A304" s="0" t="s">
        <v>16</v>
      </c>
      <c r="B304" s="0" t="s">
        <v>3836</v>
      </c>
      <c r="C304" s="0" t="s">
        <v>3837</v>
      </c>
      <c r="D304" s="0" t="s">
        <v>3868</v>
      </c>
      <c r="E304" s="0" t="s">
        <v>3869</v>
      </c>
      <c r="F304" s="0" t="s">
        <v>3214</v>
      </c>
      <c r="G304" s="0" t="s">
        <v>3870</v>
      </c>
    </row>
    <row customHeight="1" ht="11.25">
      <c r="A305" s="0" t="s">
        <v>16</v>
      </c>
      <c r="B305" s="0" t="s">
        <v>3871</v>
      </c>
      <c r="C305" s="0" t="s">
        <v>3872</v>
      </c>
      <c r="D305" s="0" t="s">
        <v>3873</v>
      </c>
      <c r="E305" s="0" t="s">
        <v>3874</v>
      </c>
      <c r="F305" s="0" t="s">
        <v>3089</v>
      </c>
      <c r="G305" s="0" t="s">
        <v>3875</v>
      </c>
    </row>
    <row customHeight="1" ht="11.25">
      <c r="A306" s="0" t="s">
        <v>16</v>
      </c>
      <c r="B306" s="0" t="s">
        <v>3871</v>
      </c>
      <c r="C306" s="0" t="s">
        <v>3872</v>
      </c>
      <c r="D306" s="0" t="s">
        <v>3876</v>
      </c>
      <c r="E306" s="0" t="s">
        <v>3877</v>
      </c>
      <c r="F306" s="0" t="s">
        <v>3089</v>
      </c>
      <c r="G306" s="0" t="s">
        <v>3878</v>
      </c>
    </row>
    <row customHeight="1" ht="11.25">
      <c r="A307" s="0" t="s">
        <v>16</v>
      </c>
      <c r="B307" s="0" t="s">
        <v>3871</v>
      </c>
      <c r="C307" s="0" t="s">
        <v>3872</v>
      </c>
      <c r="D307" s="0" t="s">
        <v>3879</v>
      </c>
      <c r="E307" s="0" t="s">
        <v>3880</v>
      </c>
      <c r="F307" s="0" t="s">
        <v>3089</v>
      </c>
      <c r="G307" s="0" t="s">
        <v>3881</v>
      </c>
    </row>
    <row customHeight="1" ht="11.25">
      <c r="A308" s="0" t="s">
        <v>16</v>
      </c>
      <c r="B308" s="0" t="s">
        <v>3871</v>
      </c>
      <c r="C308" s="0" t="s">
        <v>3872</v>
      </c>
      <c r="D308" s="0" t="s">
        <v>3882</v>
      </c>
      <c r="E308" s="0" t="s">
        <v>3883</v>
      </c>
      <c r="F308" s="0" t="s">
        <v>3089</v>
      </c>
      <c r="G308" s="0" t="s">
        <v>3884</v>
      </c>
    </row>
    <row customHeight="1" ht="11.25">
      <c r="A309" s="0" t="s">
        <v>16</v>
      </c>
      <c r="B309" s="0" t="s">
        <v>3871</v>
      </c>
      <c r="C309" s="0" t="s">
        <v>3872</v>
      </c>
      <c r="D309" s="0" t="s">
        <v>3885</v>
      </c>
      <c r="E309" s="0" t="s">
        <v>3886</v>
      </c>
      <c r="F309" s="0" t="s">
        <v>3089</v>
      </c>
      <c r="G309" s="0" t="s">
        <v>3887</v>
      </c>
    </row>
    <row customHeight="1" ht="11.25">
      <c r="A310" s="0" t="s">
        <v>16</v>
      </c>
      <c r="B310" s="0" t="s">
        <v>3871</v>
      </c>
      <c r="C310" s="0" t="s">
        <v>3872</v>
      </c>
      <c r="D310" s="0" t="s">
        <v>3888</v>
      </c>
      <c r="E310" s="0" t="s">
        <v>3889</v>
      </c>
      <c r="F310" s="0" t="s">
        <v>3089</v>
      </c>
      <c r="G310" s="0" t="s">
        <v>3890</v>
      </c>
    </row>
    <row customHeight="1" ht="11.25">
      <c r="A311" s="0" t="s">
        <v>16</v>
      </c>
      <c r="B311" s="0" t="s">
        <v>3871</v>
      </c>
      <c r="C311" s="0" t="s">
        <v>3872</v>
      </c>
      <c r="D311" s="0" t="s">
        <v>3891</v>
      </c>
      <c r="E311" s="0" t="s">
        <v>3892</v>
      </c>
      <c r="F311" s="0" t="s">
        <v>3089</v>
      </c>
      <c r="G311" s="0" t="s">
        <v>3893</v>
      </c>
    </row>
    <row customHeight="1" ht="11.25">
      <c r="A312" s="0" t="s">
        <v>16</v>
      </c>
      <c r="B312" s="0" t="s">
        <v>3871</v>
      </c>
      <c r="C312" s="0" t="s">
        <v>3872</v>
      </c>
      <c r="D312" s="0" t="s">
        <v>3894</v>
      </c>
      <c r="E312" s="0" t="s">
        <v>3895</v>
      </c>
      <c r="F312" s="0" t="s">
        <v>3089</v>
      </c>
      <c r="G312" s="0" t="s">
        <v>3896</v>
      </c>
    </row>
    <row customHeight="1" ht="11.25">
      <c r="A313" s="0" t="s">
        <v>16</v>
      </c>
      <c r="B313" s="0" t="s">
        <v>3871</v>
      </c>
      <c r="C313" s="0" t="s">
        <v>3872</v>
      </c>
      <c r="D313" s="0" t="s">
        <v>3871</v>
      </c>
      <c r="E313" s="0" t="s">
        <v>3872</v>
      </c>
      <c r="F313" s="0" t="s">
        <v>3090</v>
      </c>
      <c r="G313" s="0" t="s">
        <v>3897</v>
      </c>
    </row>
    <row customHeight="1" ht="11.25">
      <c r="A314" s="0" t="s">
        <v>16</v>
      </c>
      <c r="B314" s="0" t="s">
        <v>3871</v>
      </c>
      <c r="C314" s="0" t="s">
        <v>3872</v>
      </c>
      <c r="D314" s="0" t="s">
        <v>3898</v>
      </c>
      <c r="E314" s="0" t="s">
        <v>3899</v>
      </c>
      <c r="F314" s="0" t="s">
        <v>3159</v>
      </c>
      <c r="G314" s="0" t="s">
        <v>3900</v>
      </c>
    </row>
    <row customHeight="1" ht="11.25">
      <c r="A315" s="0" t="s">
        <v>16</v>
      </c>
      <c r="B315" s="0" t="s">
        <v>3901</v>
      </c>
      <c r="C315" s="0" t="s">
        <v>3902</v>
      </c>
      <c r="D315" s="0" t="s">
        <v>3903</v>
      </c>
      <c r="E315" s="0" t="s">
        <v>3904</v>
      </c>
      <c r="F315" s="0" t="s">
        <v>3089</v>
      </c>
      <c r="G315" s="0" t="s">
        <v>3905</v>
      </c>
    </row>
    <row customHeight="1" ht="11.25">
      <c r="A316" s="0" t="s">
        <v>16</v>
      </c>
      <c r="B316" s="0" t="s">
        <v>3901</v>
      </c>
      <c r="C316" s="0" t="s">
        <v>3902</v>
      </c>
      <c r="D316" s="0" t="s">
        <v>3235</v>
      </c>
      <c r="E316" s="0" t="s">
        <v>3906</v>
      </c>
      <c r="F316" s="0" t="s">
        <v>3089</v>
      </c>
      <c r="G316" s="0" t="s">
        <v>3907</v>
      </c>
    </row>
    <row customHeight="1" ht="11.25">
      <c r="A317" s="0" t="s">
        <v>16</v>
      </c>
      <c r="B317" s="0" t="s">
        <v>3901</v>
      </c>
      <c r="C317" s="0" t="s">
        <v>3902</v>
      </c>
      <c r="D317" s="0" t="s">
        <v>3908</v>
      </c>
      <c r="E317" s="0" t="s">
        <v>3909</v>
      </c>
      <c r="F317" s="0" t="s">
        <v>3089</v>
      </c>
      <c r="G317" s="0" t="s">
        <v>3910</v>
      </c>
    </row>
    <row customHeight="1" ht="11.25">
      <c r="A318" s="0" t="s">
        <v>16</v>
      </c>
      <c r="B318" s="0" t="s">
        <v>3901</v>
      </c>
      <c r="C318" s="0" t="s">
        <v>3902</v>
      </c>
      <c r="D318" s="0" t="s">
        <v>3885</v>
      </c>
      <c r="E318" s="0" t="s">
        <v>3911</v>
      </c>
      <c r="F318" s="0" t="s">
        <v>3089</v>
      </c>
      <c r="G318" s="0" t="s">
        <v>3912</v>
      </c>
    </row>
    <row customHeight="1" ht="11.25">
      <c r="A319" s="0" t="s">
        <v>16</v>
      </c>
      <c r="B319" s="0" t="s">
        <v>3901</v>
      </c>
      <c r="C319" s="0" t="s">
        <v>3902</v>
      </c>
      <c r="D319" s="0" t="s">
        <v>3913</v>
      </c>
      <c r="E319" s="0" t="s">
        <v>3914</v>
      </c>
      <c r="F319" s="0" t="s">
        <v>3089</v>
      </c>
      <c r="G319" s="0" t="s">
        <v>3915</v>
      </c>
    </row>
    <row customHeight="1" ht="11.25">
      <c r="A320" s="0" t="s">
        <v>16</v>
      </c>
      <c r="B320" s="0" t="s">
        <v>3901</v>
      </c>
      <c r="C320" s="0" t="s">
        <v>3902</v>
      </c>
      <c r="D320" s="0" t="s">
        <v>3862</v>
      </c>
      <c r="E320" s="0" t="s">
        <v>3916</v>
      </c>
      <c r="F320" s="0" t="s">
        <v>3089</v>
      </c>
      <c r="G320" s="0" t="s">
        <v>3917</v>
      </c>
    </row>
    <row customHeight="1" ht="11.25">
      <c r="A321" s="0" t="s">
        <v>16</v>
      </c>
      <c r="B321" s="0" t="s">
        <v>3901</v>
      </c>
      <c r="C321" s="0" t="s">
        <v>3902</v>
      </c>
      <c r="D321" s="0" t="s">
        <v>3918</v>
      </c>
      <c r="E321" s="0" t="s">
        <v>3919</v>
      </c>
      <c r="F321" s="0" t="s">
        <v>3089</v>
      </c>
      <c r="G321" s="0" t="s">
        <v>3920</v>
      </c>
    </row>
    <row customHeight="1" ht="11.25">
      <c r="A322" s="0" t="s">
        <v>16</v>
      </c>
      <c r="B322" s="0" t="s">
        <v>3901</v>
      </c>
      <c r="C322" s="0" t="s">
        <v>3902</v>
      </c>
      <c r="D322" s="0" t="s">
        <v>3921</v>
      </c>
      <c r="E322" s="0" t="s">
        <v>3922</v>
      </c>
      <c r="F322" s="0" t="s">
        <v>3089</v>
      </c>
      <c r="G322" s="0" t="s">
        <v>3923</v>
      </c>
    </row>
    <row customHeight="1" ht="11.25">
      <c r="A323" s="0" t="s">
        <v>16</v>
      </c>
      <c r="B323" s="0" t="s">
        <v>3901</v>
      </c>
      <c r="C323" s="0" t="s">
        <v>3902</v>
      </c>
      <c r="D323" s="0" t="s">
        <v>3901</v>
      </c>
      <c r="E323" s="0" t="s">
        <v>3902</v>
      </c>
      <c r="F323" s="0" t="s">
        <v>3090</v>
      </c>
      <c r="G323" s="0" t="s">
        <v>3924</v>
      </c>
    </row>
    <row customHeight="1" ht="11.25">
      <c r="A324" s="0" t="s">
        <v>16</v>
      </c>
      <c r="B324" s="0" t="s">
        <v>3901</v>
      </c>
      <c r="C324" s="0" t="s">
        <v>3902</v>
      </c>
      <c r="D324" s="0" t="s">
        <v>3925</v>
      </c>
      <c r="E324" s="0" t="s">
        <v>3926</v>
      </c>
      <c r="F324" s="0" t="s">
        <v>3159</v>
      </c>
      <c r="G324" s="0" t="s">
        <v>3927</v>
      </c>
    </row>
    <row customHeight="1" ht="11.25">
      <c r="A325" s="0" t="s">
        <v>16</v>
      </c>
      <c r="B325" s="0" t="s">
        <v>3928</v>
      </c>
      <c r="C325" s="0" t="s">
        <v>3929</v>
      </c>
      <c r="D325" s="0" t="s">
        <v>3930</v>
      </c>
      <c r="E325" s="0" t="s">
        <v>3931</v>
      </c>
      <c r="F325" s="0" t="s">
        <v>3089</v>
      </c>
      <c r="G325" s="0" t="s">
        <v>3932</v>
      </c>
    </row>
    <row customHeight="1" ht="11.25">
      <c r="A326" s="0" t="s">
        <v>16</v>
      </c>
      <c r="B326" s="0" t="s">
        <v>3928</v>
      </c>
      <c r="C326" s="0" t="s">
        <v>3929</v>
      </c>
      <c r="D326" s="0" t="s">
        <v>3095</v>
      </c>
      <c r="E326" s="0" t="s">
        <v>3933</v>
      </c>
      <c r="F326" s="0" t="s">
        <v>3089</v>
      </c>
      <c r="G326" s="0" t="s">
        <v>3934</v>
      </c>
    </row>
    <row customHeight="1" ht="11.25">
      <c r="A327" s="0" t="s">
        <v>16</v>
      </c>
      <c r="B327" s="0" t="s">
        <v>3928</v>
      </c>
      <c r="C327" s="0" t="s">
        <v>3929</v>
      </c>
      <c r="D327" s="0" t="s">
        <v>3935</v>
      </c>
      <c r="E327" s="0" t="s">
        <v>3936</v>
      </c>
      <c r="F327" s="0" t="s">
        <v>3089</v>
      </c>
      <c r="G327" s="0" t="s">
        <v>3937</v>
      </c>
    </row>
    <row customHeight="1" ht="11.25">
      <c r="A328" s="0" t="s">
        <v>16</v>
      </c>
      <c r="B328" s="0" t="s">
        <v>3928</v>
      </c>
      <c r="C328" s="0" t="s">
        <v>3929</v>
      </c>
      <c r="D328" s="0" t="s">
        <v>3938</v>
      </c>
      <c r="E328" s="0" t="s">
        <v>3939</v>
      </c>
      <c r="F328" s="0" t="s">
        <v>3089</v>
      </c>
      <c r="G328" s="0" t="s">
        <v>3940</v>
      </c>
    </row>
    <row customHeight="1" ht="11.25">
      <c r="A329" s="0" t="s">
        <v>16</v>
      </c>
      <c r="B329" s="0" t="s">
        <v>3928</v>
      </c>
      <c r="C329" s="0" t="s">
        <v>3929</v>
      </c>
      <c r="D329" s="0" t="s">
        <v>3941</v>
      </c>
      <c r="E329" s="0" t="s">
        <v>3942</v>
      </c>
      <c r="F329" s="0" t="s">
        <v>3089</v>
      </c>
      <c r="G329" s="0" t="s">
        <v>3943</v>
      </c>
    </row>
    <row customHeight="1" ht="11.25">
      <c r="A330" s="0" t="s">
        <v>16</v>
      </c>
      <c r="B330" s="0" t="s">
        <v>3928</v>
      </c>
      <c r="C330" s="0" t="s">
        <v>3929</v>
      </c>
      <c r="D330" s="0" t="s">
        <v>3168</v>
      </c>
      <c r="E330" s="0" t="s">
        <v>3944</v>
      </c>
      <c r="F330" s="0" t="s">
        <v>3089</v>
      </c>
      <c r="G330" s="0" t="s">
        <v>3945</v>
      </c>
    </row>
    <row customHeight="1" ht="11.25">
      <c r="A331" s="0" t="s">
        <v>16</v>
      </c>
      <c r="B331" s="0" t="s">
        <v>3928</v>
      </c>
      <c r="C331" s="0" t="s">
        <v>3929</v>
      </c>
      <c r="D331" s="0" t="s">
        <v>3946</v>
      </c>
      <c r="E331" s="0" t="s">
        <v>3947</v>
      </c>
      <c r="F331" s="0" t="s">
        <v>3089</v>
      </c>
      <c r="G331" s="0" t="s">
        <v>3948</v>
      </c>
    </row>
    <row customHeight="1" ht="11.25">
      <c r="A332" s="0" t="s">
        <v>16</v>
      </c>
      <c r="B332" s="0" t="s">
        <v>3928</v>
      </c>
      <c r="C332" s="0" t="s">
        <v>3929</v>
      </c>
      <c r="D332" s="0" t="s">
        <v>3949</v>
      </c>
      <c r="E332" s="0" t="s">
        <v>3950</v>
      </c>
      <c r="F332" s="0" t="s">
        <v>3089</v>
      </c>
      <c r="G332" s="0" t="s">
        <v>3951</v>
      </c>
    </row>
    <row customHeight="1" ht="11.25">
      <c r="A333" s="0" t="s">
        <v>16</v>
      </c>
      <c r="B333" s="0" t="s">
        <v>3928</v>
      </c>
      <c r="C333" s="0" t="s">
        <v>3929</v>
      </c>
      <c r="D333" s="0" t="s">
        <v>3952</v>
      </c>
      <c r="E333" s="0" t="s">
        <v>3953</v>
      </c>
      <c r="F333" s="0" t="s">
        <v>3089</v>
      </c>
      <c r="G333" s="0" t="s">
        <v>3954</v>
      </c>
    </row>
    <row customHeight="1" ht="11.25">
      <c r="A334" s="0" t="s">
        <v>16</v>
      </c>
      <c r="B334" s="0" t="s">
        <v>3928</v>
      </c>
      <c r="C334" s="0" t="s">
        <v>3929</v>
      </c>
      <c r="D334" s="0" t="s">
        <v>3955</v>
      </c>
      <c r="E334" s="0" t="s">
        <v>3956</v>
      </c>
      <c r="F334" s="0" t="s">
        <v>3089</v>
      </c>
      <c r="G334" s="0" t="s">
        <v>3957</v>
      </c>
    </row>
    <row customHeight="1" ht="11.25">
      <c r="A335" s="0" t="s">
        <v>16</v>
      </c>
      <c r="B335" s="0" t="s">
        <v>3928</v>
      </c>
      <c r="C335" s="0" t="s">
        <v>3929</v>
      </c>
      <c r="D335" s="0" t="s">
        <v>3958</v>
      </c>
      <c r="E335" s="0" t="s">
        <v>3959</v>
      </c>
      <c r="F335" s="0" t="s">
        <v>3089</v>
      </c>
      <c r="G335" s="0" t="s">
        <v>3960</v>
      </c>
    </row>
    <row customHeight="1" ht="11.25">
      <c r="A336" s="0" t="s">
        <v>16</v>
      </c>
      <c r="B336" s="0" t="s">
        <v>3928</v>
      </c>
      <c r="C336" s="0" t="s">
        <v>3929</v>
      </c>
      <c r="D336" s="0" t="s">
        <v>3176</v>
      </c>
      <c r="E336" s="0" t="s">
        <v>3961</v>
      </c>
      <c r="F336" s="0" t="s">
        <v>3089</v>
      </c>
      <c r="G336" s="0" t="s">
        <v>3962</v>
      </c>
    </row>
    <row customHeight="1" ht="11.25">
      <c r="A337" s="0" t="s">
        <v>16</v>
      </c>
      <c r="B337" s="0" t="s">
        <v>3928</v>
      </c>
      <c r="C337" s="0" t="s">
        <v>3929</v>
      </c>
      <c r="D337" s="0" t="s">
        <v>3963</v>
      </c>
      <c r="E337" s="0" t="s">
        <v>3964</v>
      </c>
      <c r="F337" s="0" t="s">
        <v>3089</v>
      </c>
      <c r="G337" s="0" t="s">
        <v>3965</v>
      </c>
    </row>
    <row customHeight="1" ht="11.25">
      <c r="A338" s="0" t="s">
        <v>16</v>
      </c>
      <c r="B338" s="0" t="s">
        <v>3928</v>
      </c>
      <c r="C338" s="0" t="s">
        <v>3929</v>
      </c>
      <c r="D338" s="0" t="s">
        <v>3966</v>
      </c>
      <c r="E338" s="0" t="s">
        <v>3967</v>
      </c>
      <c r="F338" s="0" t="s">
        <v>3089</v>
      </c>
      <c r="G338" s="0" t="s">
        <v>3968</v>
      </c>
    </row>
    <row customHeight="1" ht="11.25">
      <c r="A339" s="0" t="s">
        <v>16</v>
      </c>
      <c r="B339" s="0" t="s">
        <v>3928</v>
      </c>
      <c r="C339" s="0" t="s">
        <v>3929</v>
      </c>
      <c r="D339" s="0" t="s">
        <v>3686</v>
      </c>
      <c r="E339" s="0" t="s">
        <v>3969</v>
      </c>
      <c r="F339" s="0" t="s">
        <v>3089</v>
      </c>
      <c r="G339" s="0" t="s">
        <v>3970</v>
      </c>
    </row>
    <row customHeight="1" ht="11.25">
      <c r="A340" s="0" t="s">
        <v>16</v>
      </c>
      <c r="B340" s="0" t="s">
        <v>3928</v>
      </c>
      <c r="C340" s="0" t="s">
        <v>3929</v>
      </c>
      <c r="D340" s="0" t="s">
        <v>3971</v>
      </c>
      <c r="E340" s="0" t="s">
        <v>3972</v>
      </c>
      <c r="F340" s="0" t="s">
        <v>3089</v>
      </c>
      <c r="G340" s="0" t="s">
        <v>3973</v>
      </c>
    </row>
    <row customHeight="1" ht="11.25">
      <c r="A341" s="0" t="s">
        <v>16</v>
      </c>
      <c r="B341" s="0" t="s">
        <v>3928</v>
      </c>
      <c r="C341" s="0" t="s">
        <v>3929</v>
      </c>
      <c r="D341" s="0" t="s">
        <v>3974</v>
      </c>
      <c r="E341" s="0" t="s">
        <v>3975</v>
      </c>
      <c r="F341" s="0" t="s">
        <v>3089</v>
      </c>
      <c r="G341" s="0" t="s">
        <v>3976</v>
      </c>
    </row>
    <row customHeight="1" ht="11.25">
      <c r="A342" s="0" t="s">
        <v>16</v>
      </c>
      <c r="B342" s="0" t="s">
        <v>3928</v>
      </c>
      <c r="C342" s="0" t="s">
        <v>3929</v>
      </c>
      <c r="D342" s="0" t="s">
        <v>3977</v>
      </c>
      <c r="E342" s="0" t="s">
        <v>3978</v>
      </c>
      <c r="F342" s="0" t="s">
        <v>3089</v>
      </c>
      <c r="G342" s="0" t="s">
        <v>3979</v>
      </c>
    </row>
    <row customHeight="1" ht="11.25">
      <c r="A343" s="0" t="s">
        <v>16</v>
      </c>
      <c r="B343" s="0" t="s">
        <v>3928</v>
      </c>
      <c r="C343" s="0" t="s">
        <v>3929</v>
      </c>
      <c r="D343" s="0" t="s">
        <v>3928</v>
      </c>
      <c r="E343" s="0" t="s">
        <v>3929</v>
      </c>
      <c r="F343" s="0" t="s">
        <v>3090</v>
      </c>
      <c r="G343" s="0" t="s">
        <v>3980</v>
      </c>
    </row>
    <row customHeight="1" ht="11.25">
      <c r="A344" s="0" t="s">
        <v>16</v>
      </c>
      <c r="B344" s="0" t="s">
        <v>3981</v>
      </c>
      <c r="C344" s="0" t="s">
        <v>3982</v>
      </c>
      <c r="D344" s="0" t="s">
        <v>3981</v>
      </c>
      <c r="E344" s="0" t="s">
        <v>3982</v>
      </c>
      <c r="F344" s="0" t="s">
        <v>3983</v>
      </c>
      <c r="G344" s="0" t="s">
        <v>3984</v>
      </c>
    </row>
    <row customHeight="1" ht="11.25">
      <c r="A345" s="0" t="s">
        <v>16</v>
      </c>
      <c r="B345" s="0" t="s">
        <v>3985</v>
      </c>
      <c r="C345" s="0" t="s">
        <v>3986</v>
      </c>
      <c r="D345" s="0" t="s">
        <v>3985</v>
      </c>
      <c r="E345" s="0" t="s">
        <v>3986</v>
      </c>
      <c r="F345" s="0" t="s">
        <v>3983</v>
      </c>
      <c r="G345" s="0" t="s">
        <v>3987</v>
      </c>
    </row>
    <row customHeight="1" ht="11.25">
      <c r="A346" s="0" t="s">
        <v>16</v>
      </c>
      <c r="B346" s="0" t="s">
        <v>3988</v>
      </c>
      <c r="C346" s="0" t="s">
        <v>3989</v>
      </c>
      <c r="D346" s="0" t="s">
        <v>3988</v>
      </c>
      <c r="E346" s="0" t="s">
        <v>3989</v>
      </c>
      <c r="F346" s="0" t="s">
        <v>3983</v>
      </c>
      <c r="G346" s="0" t="s">
        <v>3990</v>
      </c>
    </row>
    <row customHeight="1" ht="11.25">
      <c r="A347" s="0" t="s">
        <v>16</v>
      </c>
      <c r="B347" s="0" t="s">
        <v>3991</v>
      </c>
      <c r="C347" s="0" t="s">
        <v>3992</v>
      </c>
      <c r="D347" s="0" t="s">
        <v>3991</v>
      </c>
      <c r="E347" s="0" t="s">
        <v>3992</v>
      </c>
      <c r="F347" s="0" t="s">
        <v>3983</v>
      </c>
      <c r="G347" s="0" t="s">
        <v>3993</v>
      </c>
    </row>
    <row customHeight="1" ht="11.25">
      <c r="A348" s="0" t="s">
        <v>16</v>
      </c>
      <c r="B348" s="0" t="s">
        <v>3994</v>
      </c>
      <c r="C348" s="0" t="s">
        <v>3995</v>
      </c>
      <c r="D348" s="0" t="s">
        <v>3994</v>
      </c>
      <c r="E348" s="0" t="s">
        <v>3995</v>
      </c>
      <c r="F348" s="0" t="s">
        <v>3983</v>
      </c>
      <c r="G348" s="0" t="s">
        <v>3996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DE33851-F063-1A39-A0C8-FF028E41BD4B}"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3053" width="9.140625"/>
    <col min="2" max="2" style="13053" width="84.28125" customWidth="1"/>
    <col min="3" max="3" style="13053" width="9.140625"/>
  </cols>
  <sheetData>
    <row customHeight="1" ht="11.25">
      <c r="A1" s="891" t="s">
        <v>4043</v>
      </c>
      <c r="B1" s="891" t="s">
        <v>4044</v>
      </c>
      <c r="C1" s="891" t="s">
        <v>1304</v>
      </c>
    </row>
    <row customHeight="1" ht="11.25">
      <c r="A2" s="891">
        <v>4189678</v>
      </c>
      <c r="B2" s="891" t="s">
        <v>4045</v>
      </c>
      <c r="C2" s="891" t="s">
        <v>4046</v>
      </c>
    </row>
    <row customHeight="1" ht="11.25">
      <c r="A3" s="891">
        <v>4190415</v>
      </c>
      <c r="B3" s="891" t="s">
        <v>4047</v>
      </c>
      <c r="C3" s="891" t="s">
        <v>4046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4F605D-6FE1-67B2-C81E-CEE381DA1DE3}"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3654" width="38.421875" customWidth="1"/>
    <col min="2" max="5" style="13654" width="9.140625"/>
  </cols>
  <sheetData>
    <row customHeight="1" ht="15">
      <c r="A1" s="219" t="s">
        <v>4048</v>
      </c>
      <c r="B1" s="219" t="s">
        <v>4049</v>
      </c>
      <c r="C1" s="219"/>
      <c r="D1" s="219"/>
      <c r="E1" s="219"/>
    </row>
    <row customHeight="1" ht="15">
      <c r="A2" s="219"/>
      <c r="B2" s="219"/>
      <c r="C2" s="219"/>
      <c r="D2" s="219"/>
      <c r="E2" s="219"/>
    </row>
    <row customHeight="1" ht="15">
      <c r="A3" s="219"/>
      <c r="B3" s="219"/>
      <c r="C3" s="219"/>
      <c r="D3" s="219"/>
      <c r="E3" s="219"/>
    </row>
    <row customHeight="1" ht="15">
      <c r="A4" s="219"/>
      <c r="B4" s="219"/>
      <c r="C4" s="219"/>
      <c r="D4" s="219"/>
      <c r="E4" s="219"/>
    </row>
    <row customHeight="1" ht="15">
      <c r="A5" s="219"/>
      <c r="B5" s="219"/>
      <c r="C5" s="219"/>
      <c r="D5" s="219"/>
      <c r="E5" s="219"/>
    </row>
    <row customHeight="1" ht="15">
      <c r="A6" s="219"/>
      <c r="B6" s="219"/>
      <c r="C6" s="219"/>
      <c r="D6" s="219"/>
      <c r="E6" s="219"/>
    </row>
    <row customHeight="1" ht="15">
      <c r="A7" s="219"/>
      <c r="B7" s="219"/>
      <c r="C7" s="219"/>
      <c r="D7" s="219"/>
      <c r="E7" s="219"/>
    </row>
    <row customHeight="1" ht="15">
      <c r="A8" s="219"/>
      <c r="B8" s="219"/>
      <c r="C8" s="219"/>
      <c r="D8" s="219"/>
      <c r="E8" s="219"/>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EBB8E2-A89C-503A-546E-4BAB7C82CDC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4050</v>
      </c>
      <c r="B1" s="0" t="b">
        <v>1</v>
      </c>
    </row>
    <row customHeight="1" ht="11.25">
      <c r="A2" s="0" t="s">
        <v>4051</v>
      </c>
      <c r="B2" s="0" t="b">
        <v>0</v>
      </c>
    </row>
    <row customHeight="1" ht="11.25">
      <c r="A3" s="0" t="s">
        <v>4052</v>
      </c>
      <c r="B3" s="0" t="b">
        <v>0</v>
      </c>
    </row>
    <row customHeight="1" ht="11.25">
      <c r="A4" s="0" t="s">
        <v>4053</v>
      </c>
      <c r="B4" s="0" t="b">
        <v>1</v>
      </c>
    </row>
    <row customHeight="1" ht="11.25">
      <c r="A5" s="0" t="s">
        <v>4054</v>
      </c>
      <c r="B5" s="0" t="b">
        <v>0</v>
      </c>
    </row>
    <row customHeight="1" ht="11.25">
      <c r="A6" s="0" t="s">
        <v>4055</v>
      </c>
      <c r="B6" s="0" t="b">
        <v>0</v>
      </c>
    </row>
    <row customHeight="1" ht="11.25">
      <c r="A7" s="0" t="s">
        <v>4056</v>
      </c>
      <c r="B7" s="0" t="b">
        <v>0</v>
      </c>
    </row>
    <row customHeight="1" ht="11.25">
      <c r="A8" s="0" t="s">
        <v>4057</v>
      </c>
      <c r="B8" s="0" t="b">
        <v>0</v>
      </c>
    </row>
    <row customHeight="1" ht="11.25">
      <c r="A9" s="0" t="s">
        <v>4058</v>
      </c>
      <c r="B9" s="0" t="b">
        <v>1</v>
      </c>
    </row>
    <row customHeight="1" ht="11.25">
      <c r="A10" s="0" t="s">
        <v>4059</v>
      </c>
      <c r="B10" s="0" t="b">
        <v>0</v>
      </c>
    </row>
    <row customHeight="1" ht="11.25">
      <c r="A11" s="0" t="s">
        <v>4060</v>
      </c>
      <c r="B11" s="0" t="b">
        <v>0</v>
      </c>
    </row>
    <row customHeight="1" ht="11.25">
      <c r="A12" s="0" t="s">
        <v>4061</v>
      </c>
      <c r="B12" s="0" t="b">
        <v>0</v>
      </c>
    </row>
    <row customHeight="1" ht="11.25">
      <c r="A13" s="0" t="s">
        <v>4062</v>
      </c>
      <c r="B13" s="0" t="b">
        <v>0</v>
      </c>
    </row>
    <row customHeight="1" ht="11.25">
      <c r="A14" s="0" t="s">
        <v>4063</v>
      </c>
      <c r="B14" s="0" t="b">
        <v>0</v>
      </c>
    </row>
    <row customHeight="1" ht="11.25">
      <c r="A15" s="0" t="s">
        <v>4064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4E6A35-136F-0E7C-CF29-B243260A9D1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730" width="9.140625"/>
  </cols>
  <sheetData>
    <row customHeight="1" ht="12.75">
      <c r="A1" s="119"/>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1F1662-E57E-C2EB-E1A6-E0B658D4292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911" width="36.28125" customWidth="1"/>
    <col min="2" max="2" style="2911" width="21.140625" customWidth="1"/>
  </cols>
  <sheetData>
    <row customHeight="1" ht="11.25">
      <c r="A1" s="123" t="s">
        <v>4065</v>
      </c>
      <c r="B1" s="123" t="s">
        <v>4066</v>
      </c>
    </row>
    <row customHeight="1" ht="11.25">
      <c r="A2" s="118" t="s">
        <v>4067</v>
      </c>
      <c r="B2" s="118" t="s">
        <v>4068</v>
      </c>
    </row>
    <row customHeight="1" ht="11.25">
      <c r="A3" s="118" t="s">
        <v>4069</v>
      </c>
      <c r="B3" s="118" t="s">
        <v>4070</v>
      </c>
    </row>
    <row customHeight="1" ht="11.25">
      <c r="A4" s="118" t="s">
        <v>4071</v>
      </c>
      <c r="B4" s="118" t="s">
        <v>4072</v>
      </c>
    </row>
    <row customHeight="1" ht="11.25">
      <c r="A5" s="118" t="s">
        <v>4073</v>
      </c>
      <c r="B5" s="118" t="s">
        <v>4074</v>
      </c>
    </row>
    <row customHeight="1" ht="11.25">
      <c r="A6" s="118" t="s">
        <v>4075</v>
      </c>
      <c r="B6" s="118" t="s">
        <v>4076</v>
      </c>
    </row>
    <row customHeight="1" ht="11.25">
      <c r="A7" s="118" t="s">
        <v>4077</v>
      </c>
      <c r="B7" s="118" t="s">
        <v>4078</v>
      </c>
    </row>
    <row customHeight="1" ht="11.25">
      <c r="A8" s="118" t="s">
        <v>4079</v>
      </c>
      <c r="B8" s="118" t="s">
        <v>4080</v>
      </c>
    </row>
    <row customHeight="1" ht="11.25">
      <c r="A9" s="118" t="s">
        <v>4081</v>
      </c>
      <c r="B9" s="118" t="s">
        <v>4082</v>
      </c>
    </row>
    <row customHeight="1" ht="11.25">
      <c r="A10" s="118" t="s">
        <v>4083</v>
      </c>
      <c r="B10" s="118" t="s">
        <v>4084</v>
      </c>
    </row>
    <row customHeight="1" ht="11.25">
      <c r="A11" s="118" t="s">
        <v>4085</v>
      </c>
      <c r="B11" s="118" t="s">
        <v>4086</v>
      </c>
    </row>
    <row customHeight="1" ht="11.25">
      <c r="A12" s="118" t="s">
        <v>4087</v>
      </c>
      <c r="B12" s="118" t="s">
        <v>4088</v>
      </c>
    </row>
    <row customHeight="1" ht="11.25">
      <c r="A13" s="118" t="s">
        <v>4089</v>
      </c>
      <c r="B13" s="118" t="s">
        <v>4090</v>
      </c>
    </row>
    <row customHeight="1" ht="11.25">
      <c r="A14" s="118" t="s">
        <v>4091</v>
      </c>
      <c r="B14" s="118" t="s">
        <v>4092</v>
      </c>
    </row>
    <row customHeight="1" ht="11.25">
      <c r="A15" s="118" t="s">
        <v>4093</v>
      </c>
      <c r="B15" s="118" t="s">
        <v>4094</v>
      </c>
    </row>
    <row customHeight="1" ht="11.25">
      <c r="A16" s="118" t="s">
        <v>4095</v>
      </c>
      <c r="B16" s="118" t="s">
        <v>4096</v>
      </c>
    </row>
    <row customHeight="1" ht="11.25">
      <c r="A17" s="118" t="s">
        <v>4097</v>
      </c>
      <c r="B17" s="118" t="s">
        <v>4098</v>
      </c>
    </row>
    <row customHeight="1" ht="11.25">
      <c r="A18" s="118" t="s">
        <v>4099</v>
      </c>
      <c r="B18" s="118" t="s">
        <v>4100</v>
      </c>
    </row>
    <row customHeight="1" ht="11.25">
      <c r="A19" s="118" t="s">
        <v>4101</v>
      </c>
      <c r="B19" s="118" t="s">
        <v>4102</v>
      </c>
    </row>
    <row customHeight="1" ht="11.25">
      <c r="A20" s="118" t="s">
        <v>4103</v>
      </c>
      <c r="B20" s="118" t="s">
        <v>4104</v>
      </c>
    </row>
    <row customHeight="1" ht="11.25">
      <c r="A21" s="118" t="s">
        <v>4105</v>
      </c>
      <c r="B21" s="118" t="s">
        <v>4106</v>
      </c>
    </row>
    <row customHeight="1" ht="11.25">
      <c r="A22" s="118" t="s">
        <v>4107</v>
      </c>
      <c r="B22" s="118" t="s">
        <v>4108</v>
      </c>
    </row>
    <row customHeight="1" ht="11.25">
      <c r="A23" s="118" t="s">
        <v>4109</v>
      </c>
      <c r="B23" s="118" t="s">
        <v>4110</v>
      </c>
    </row>
    <row customHeight="1" ht="11.25">
      <c r="A24" s="118" t="s">
        <v>4111</v>
      </c>
      <c r="B24" s="118" t="s">
        <v>4112</v>
      </c>
    </row>
    <row customHeight="1" ht="11.25">
      <c r="A25" s="118" t="s">
        <v>4113</v>
      </c>
      <c r="B25" s="118" t="s">
        <v>4114</v>
      </c>
    </row>
    <row customHeight="1" ht="11.25">
      <c r="A26" s="118" t="s">
        <v>4115</v>
      </c>
      <c r="B26" s="118" t="s">
        <v>4116</v>
      </c>
    </row>
    <row customHeight="1" ht="11.25">
      <c r="A27" s="118" t="s">
        <v>4117</v>
      </c>
      <c r="B27" s="118" t="s">
        <v>4118</v>
      </c>
    </row>
    <row customHeight="1" ht="11.25">
      <c r="A28" s="118" t="s">
        <v>4119</v>
      </c>
      <c r="B28" s="118" t="s">
        <v>4120</v>
      </c>
    </row>
    <row customHeight="1" ht="11.25">
      <c r="A29" s="118" t="s">
        <v>4121</v>
      </c>
      <c r="B29" s="118" t="s">
        <v>4122</v>
      </c>
    </row>
    <row customHeight="1" ht="11.25">
      <c r="A30" s="118" t="s">
        <v>4123</v>
      </c>
      <c r="B30" s="118" t="s">
        <v>4124</v>
      </c>
    </row>
    <row customHeight="1" ht="11.25">
      <c r="A31" s="118" t="s">
        <v>4125</v>
      </c>
      <c r="B31" s="118" t="s">
        <v>4126</v>
      </c>
    </row>
    <row customHeight="1" ht="11.25">
      <c r="A32" s="118" t="s">
        <v>4127</v>
      </c>
      <c r="B32" s="118" t="s">
        <v>4128</v>
      </c>
    </row>
    <row customHeight="1" ht="11.25">
      <c r="A33" s="118" t="s">
        <v>4129</v>
      </c>
      <c r="B33" s="118" t="s">
        <v>4130</v>
      </c>
    </row>
    <row customHeight="1" ht="11.25">
      <c r="A34" s="118" t="s">
        <v>4131</v>
      </c>
      <c r="B34" s="118" t="s">
        <v>4132</v>
      </c>
    </row>
    <row customHeight="1" ht="11.25">
      <c r="A35" s="118" t="s">
        <v>4133</v>
      </c>
      <c r="B35" s="118" t="s">
        <v>4134</v>
      </c>
    </row>
    <row customHeight="1" ht="11.25">
      <c r="A36" s="118" t="s">
        <v>4135</v>
      </c>
      <c r="B36" s="118" t="s">
        <v>4136</v>
      </c>
    </row>
    <row customHeight="1" ht="11.25">
      <c r="A37" s="118" t="s">
        <v>4137</v>
      </c>
      <c r="B37" s="118" t="s">
        <v>4138</v>
      </c>
    </row>
    <row customHeight="1" ht="11.25">
      <c r="A38" s="118" t="s">
        <v>4139</v>
      </c>
      <c r="B38" s="118" t="s">
        <v>4140</v>
      </c>
    </row>
    <row customHeight="1" ht="11.25">
      <c r="A39" s="118" t="s">
        <v>4141</v>
      </c>
      <c r="B39" s="118" t="s">
        <v>4142</v>
      </c>
    </row>
    <row customHeight="1" ht="11.25">
      <c r="A40" s="118" t="s">
        <v>4143</v>
      </c>
      <c r="B40" s="118" t="s">
        <v>4144</v>
      </c>
    </row>
    <row customHeight="1" ht="11.25">
      <c r="A41" s="118" t="s">
        <v>4145</v>
      </c>
      <c r="B41" s="118" t="s">
        <v>4146</v>
      </c>
    </row>
    <row customHeight="1" ht="11.25">
      <c r="A42" s="118" t="s">
        <v>4147</v>
      </c>
      <c r="B42" s="118" t="s">
        <v>4148</v>
      </c>
    </row>
    <row customHeight="1" ht="11.25">
      <c r="A43" s="118" t="s">
        <v>4149</v>
      </c>
      <c r="B43" s="118" t="s">
        <v>4150</v>
      </c>
    </row>
    <row customHeight="1" ht="11.25">
      <c r="A44" s="118" t="s">
        <v>4151</v>
      </c>
      <c r="B44" s="118" t="s">
        <v>4152</v>
      </c>
    </row>
    <row customHeight="1" ht="11.25">
      <c r="A45" s="118" t="s">
        <v>4153</v>
      </c>
      <c r="B45" s="118" t="s">
        <v>4154</v>
      </c>
    </row>
    <row customHeight="1" ht="11.25">
      <c r="A46" s="118" t="s">
        <v>4155</v>
      </c>
      <c r="B46" s="118" t="s">
        <v>4156</v>
      </c>
    </row>
    <row customHeight="1" ht="11.25">
      <c r="A47" s="118" t="s">
        <v>4157</v>
      </c>
      <c r="B47" s="118" t="s">
        <v>4158</v>
      </c>
    </row>
    <row customHeight="1" ht="11.25">
      <c r="A48" s="118" t="s">
        <v>4159</v>
      </c>
      <c r="B48" s="118" t="s">
        <v>4160</v>
      </c>
    </row>
    <row customHeight="1" ht="11.25">
      <c r="A49" s="118" t="s">
        <v>4161</v>
      </c>
      <c r="B49" s="118" t="s">
        <v>4162</v>
      </c>
    </row>
    <row customHeight="1" ht="11.25">
      <c r="A50" s="118" t="s">
        <v>4163</v>
      </c>
      <c r="B50" s="118" t="s">
        <v>4164</v>
      </c>
    </row>
    <row customHeight="1" ht="11.25">
      <c r="A51" s="118" t="s">
        <v>4165</v>
      </c>
      <c r="B51" s="118" t="s">
        <v>4166</v>
      </c>
    </row>
    <row customHeight="1" ht="11.25">
      <c r="A52" s="118" t="s">
        <v>4167</v>
      </c>
      <c r="B52" s="118" t="s">
        <v>4168</v>
      </c>
    </row>
    <row customHeight="1" ht="11.25">
      <c r="A53" s="118" t="s">
        <v>4169</v>
      </c>
      <c r="B53" s="118" t="s">
        <v>4170</v>
      </c>
    </row>
    <row customHeight="1" ht="11.25">
      <c r="A54" s="118" t="s">
        <v>4171</v>
      </c>
      <c r="B54" s="118" t="s">
        <v>4172</v>
      </c>
    </row>
    <row customHeight="1" ht="11.25">
      <c r="A55" s="118" t="s">
        <v>4173</v>
      </c>
      <c r="B55" s="118" t="s">
        <v>4174</v>
      </c>
    </row>
    <row customHeight="1" ht="11.25">
      <c r="A56" s="118" t="s">
        <v>4175</v>
      </c>
      <c r="B56" s="118" t="s">
        <v>4176</v>
      </c>
    </row>
    <row customHeight="1" ht="11.25">
      <c r="A57" s="118" t="s">
        <v>4177</v>
      </c>
      <c r="B57" s="118" t="s">
        <v>4178</v>
      </c>
    </row>
    <row customHeight="1" ht="11.25">
      <c r="A58" s="118" t="s">
        <v>4179</v>
      </c>
      <c r="B58" s="118" t="s">
        <v>4180</v>
      </c>
    </row>
    <row customHeight="1" ht="11.25">
      <c r="A59" s="118" t="s">
        <v>4181</v>
      </c>
      <c r="B59" s="118" t="s">
        <v>4182</v>
      </c>
    </row>
    <row customHeight="1" ht="11.25">
      <c r="A60" s="118" t="s">
        <v>4183</v>
      </c>
      <c r="B60" s="118" t="s">
        <v>4184</v>
      </c>
    </row>
    <row customHeight="1" ht="11.25">
      <c r="A61" s="118"/>
      <c r="B61" s="118" t="s">
        <v>4185</v>
      </c>
    </row>
    <row customHeight="1" ht="11.25">
      <c r="A62" s="118"/>
      <c r="B62" s="118" t="s">
        <v>4186</v>
      </c>
    </row>
    <row customHeight="1" ht="11.25">
      <c r="A63" s="118"/>
      <c r="B63" s="118" t="s">
        <v>4187</v>
      </c>
    </row>
    <row customHeight="1" ht="11.25">
      <c r="A64" s="118"/>
      <c r="B64" s="118" t="s">
        <v>4188</v>
      </c>
    </row>
    <row customHeight="1" ht="11.25">
      <c r="A65" s="118"/>
      <c r="B65" s="118" t="s">
        <v>4189</v>
      </c>
    </row>
    <row customHeight="1" ht="11.25">
      <c r="A66" s="118"/>
      <c r="B66" s="118" t="s">
        <v>4190</v>
      </c>
    </row>
    <row customHeight="1" ht="11.25">
      <c r="A67" s="118"/>
      <c r="B67" s="118" t="s">
        <v>4191</v>
      </c>
    </row>
    <row customHeight="1" ht="11.25">
      <c r="A68" s="118"/>
      <c r="B68" s="118" t="s">
        <v>4192</v>
      </c>
    </row>
    <row customHeight="1" ht="11.25">
      <c r="A69" s="118"/>
      <c r="B69" s="118" t="s">
        <v>4193</v>
      </c>
    </row>
    <row customHeight="1" ht="11.25">
      <c r="A70" s="118"/>
      <c r="B70" s="118" t="s">
        <v>4194</v>
      </c>
    </row>
    <row customHeight="1" ht="11.25">
      <c r="A71" s="118"/>
      <c r="B71" s="118"/>
    </row>
    <row customHeight="1" ht="11.25">
      <c r="A72" s="118"/>
      <c r="B72" s="118"/>
    </row>
    <row customHeight="1" ht="11.25">
      <c r="A73" s="118"/>
      <c r="B73" s="118"/>
    </row>
    <row customHeight="1" ht="11.25">
      <c r="A74" s="118"/>
      <c r="B74" s="118"/>
    </row>
    <row customHeight="1" ht="11.25">
      <c r="A75" s="118"/>
      <c r="B75" s="118"/>
    </row>
    <row customHeight="1" ht="11.25">
      <c r="A76" s="118"/>
      <c r="B76" s="118"/>
    </row>
    <row customHeight="1" ht="11.25">
      <c r="A77" s="118"/>
      <c r="B77" s="118"/>
    </row>
    <row customHeight="1" ht="11.25">
      <c r="A78" s="118"/>
      <c r="B78" s="118"/>
    </row>
    <row customHeight="1" ht="11.25">
      <c r="A79" s="118"/>
      <c r="B79" s="118"/>
    </row>
    <row customHeight="1" ht="11.25">
      <c r="A80" s="118"/>
      <c r="B80" s="118"/>
    </row>
    <row customHeight="1" ht="11.25">
      <c r="A81" s="118"/>
      <c r="B81" s="118"/>
    </row>
    <row customHeight="1" ht="11.25">
      <c r="A82" s="118"/>
      <c r="B82" s="118"/>
    </row>
    <row customHeight="1" ht="11.25">
      <c r="A83" s="118"/>
      <c r="B83" s="118"/>
    </row>
    <row customHeight="1" ht="11.25">
      <c r="A84" s="118"/>
      <c r="B84" s="118"/>
    </row>
    <row customHeight="1" ht="11.25">
      <c r="A85" s="118"/>
      <c r="B85" s="118"/>
    </row>
    <row customHeight="1" ht="11.25">
      <c r="A86" s="118"/>
      <c r="B86" s="118"/>
    </row>
    <row customHeight="1" ht="11.25">
      <c r="A87" s="118"/>
      <c r="B87" s="118"/>
    </row>
    <row customHeight="1" ht="11.25">
      <c r="A88" s="118"/>
      <c r="B88" s="118"/>
    </row>
    <row customHeight="1" ht="11.25">
      <c r="A89" s="118"/>
      <c r="B89" s="118"/>
    </row>
    <row customHeight="1" ht="11.25">
      <c r="A90" s="118"/>
      <c r="B90" s="118"/>
    </row>
    <row customHeight="1" ht="11.25">
      <c r="A91" s="118"/>
      <c r="B91" s="118"/>
    </row>
    <row customHeight="1" ht="11.25">
      <c r="A92" s="118"/>
      <c r="B92" s="118"/>
    </row>
    <row customHeight="1" ht="11.25">
      <c r="A93" s="118"/>
      <c r="B93" s="118"/>
    </row>
    <row customHeight="1" ht="11.25">
      <c r="A94" s="118"/>
      <c r="B94" s="118"/>
    </row>
    <row customHeight="1" ht="11.25">
      <c r="A95" s="118"/>
      <c r="B95" s="118"/>
    </row>
    <row customHeight="1" ht="11.25">
      <c r="A96" s="118"/>
      <c r="B96" s="118"/>
    </row>
    <row customHeight="1" ht="11.25">
      <c r="A97" s="118"/>
      <c r="B97" s="118"/>
    </row>
    <row customHeight="1" ht="11.25">
      <c r="A98" s="118"/>
      <c r="B98" s="118"/>
    </row>
    <row customHeight="1" ht="11.25">
      <c r="A99" s="118"/>
      <c r="B99" s="118"/>
    </row>
    <row customHeight="1" ht="11.25">
      <c r="A100" s="118"/>
      <c r="B100" s="118"/>
    </row>
    <row customHeight="1" ht="11.25">
      <c r="A101" s="118"/>
      <c r="B101" s="118"/>
    </row>
    <row customHeight="1" ht="11.25">
      <c r="A102" s="118"/>
      <c r="B102" s="118"/>
    </row>
    <row customHeight="1" ht="11.25">
      <c r="A103" s="118"/>
      <c r="B103" s="118"/>
    </row>
    <row customHeight="1" ht="11.25">
      <c r="A104" s="118"/>
      <c r="B104" s="118"/>
    </row>
    <row customHeight="1" ht="11.25">
      <c r="A105" s="118"/>
      <c r="B105" s="118"/>
    </row>
    <row customHeight="1" ht="11.25">
      <c r="A106" s="118"/>
      <c r="B106" s="118"/>
    </row>
    <row customHeight="1" ht="11.25">
      <c r="A107" s="118"/>
      <c r="B107" s="118"/>
    </row>
    <row customHeight="1" ht="11.25">
      <c r="A108" s="118"/>
      <c r="B108" s="118"/>
    </row>
    <row customHeight="1" ht="11.25">
      <c r="A109" s="118"/>
      <c r="B109" s="118"/>
    </row>
    <row customHeight="1" ht="11.25">
      <c r="A110" s="118"/>
      <c r="B110" s="118"/>
    </row>
    <row customHeight="1" ht="11.25">
      <c r="A111" s="118"/>
      <c r="B111" s="118"/>
    </row>
    <row customHeight="1" ht="11.25">
      <c r="A112" s="118"/>
      <c r="B112" s="118"/>
    </row>
    <row customHeight="1" ht="11.25">
      <c r="A113" s="118"/>
      <c r="B113" s="118"/>
    </row>
    <row customHeight="1" ht="11.25">
      <c r="A114" s="118"/>
      <c r="B114" s="118"/>
    </row>
    <row customHeight="1" ht="11.25">
      <c r="A115" s="118"/>
      <c r="B115" s="118"/>
    </row>
    <row customHeight="1" ht="11.25">
      <c r="A116" s="118"/>
      <c r="B116" s="118"/>
    </row>
    <row customHeight="1" ht="11.25">
      <c r="A117" s="118"/>
      <c r="B117" s="118"/>
    </row>
    <row customHeight="1" ht="11.25">
      <c r="A118" s="118"/>
      <c r="B118" s="118"/>
    </row>
    <row customHeight="1" ht="11.25">
      <c r="A119" s="118"/>
      <c r="B119" s="118"/>
    </row>
    <row customHeight="1" ht="11.25">
      <c r="A120" s="118"/>
      <c r="B120" s="118"/>
    </row>
    <row customHeight="1" ht="11.25">
      <c r="A121" s="118"/>
      <c r="B121" s="118"/>
    </row>
    <row customHeight="1" ht="11.25">
      <c r="A122" s="118"/>
      <c r="B122" s="118"/>
    </row>
    <row customHeight="1" ht="11.25">
      <c r="A123" s="118"/>
      <c r="B123" s="118"/>
    </row>
    <row customHeight="1" ht="11.25">
      <c r="A124" s="118"/>
      <c r="B124" s="118"/>
    </row>
    <row customHeight="1" ht="11.25">
      <c r="A125" s="118"/>
      <c r="B125" s="118"/>
    </row>
    <row customHeight="1" ht="11.25">
      <c r="A126" s="118"/>
      <c r="B126" s="118"/>
    </row>
    <row customHeight="1" ht="11.25">
      <c r="A127" s="118"/>
      <c r="B127" s="118"/>
    </row>
    <row customHeight="1" ht="11.25">
      <c r="A128" s="118"/>
      <c r="B128" s="118"/>
    </row>
    <row customHeight="1" ht="11.25">
      <c r="A129" s="118"/>
      <c r="B129" s="118"/>
    </row>
    <row customHeight="1" ht="11.25">
      <c r="A130" s="118"/>
      <c r="B130" s="118"/>
    </row>
    <row customHeight="1" ht="11.25">
      <c r="A131" s="118"/>
      <c r="B131" s="118"/>
    </row>
    <row customHeight="1" ht="11.25">
      <c r="A132" s="118"/>
      <c r="B132" s="118"/>
    </row>
    <row customHeight="1" ht="11.25">
      <c r="A133" s="118"/>
      <c r="B133" s="118"/>
    </row>
    <row customHeight="1" ht="11.25">
      <c r="A134" s="118"/>
      <c r="B134" s="118"/>
    </row>
    <row customHeight="1" ht="11.25">
      <c r="A135" s="118"/>
      <c r="B135" s="118"/>
    </row>
    <row customHeight="1" ht="11.25">
      <c r="A136" s="118"/>
      <c r="B136" s="118"/>
    </row>
    <row customHeight="1" ht="11.25">
      <c r="A137" s="118"/>
      <c r="B137" s="118"/>
    </row>
    <row customHeight="1" ht="11.25">
      <c r="A138" s="118"/>
      <c r="B138" s="118"/>
    </row>
    <row customHeight="1" ht="11.25">
      <c r="A139" s="118"/>
      <c r="B139" s="118"/>
    </row>
    <row customHeight="1" ht="11.25">
      <c r="A140" s="118"/>
      <c r="B140" s="118"/>
    </row>
    <row customHeight="1" ht="11.25">
      <c r="A141" s="118"/>
      <c r="B141" s="118"/>
    </row>
    <row customHeight="1" ht="11.25">
      <c r="A142" s="118"/>
      <c r="B142" s="118"/>
    </row>
    <row customHeight="1" ht="11.25">
      <c r="A143" s="118"/>
      <c r="B143" s="118"/>
    </row>
    <row customHeight="1" ht="11.25">
      <c r="A144" s="118"/>
      <c r="B144" s="118"/>
    </row>
    <row customHeight="1" ht="11.25">
      <c r="A145" s="118"/>
      <c r="B145" s="118"/>
    </row>
    <row customHeight="1" ht="11.25">
      <c r="A146" s="118"/>
      <c r="B146" s="118"/>
    </row>
    <row customHeight="1" ht="11.25">
      <c r="A147" s="118"/>
      <c r="B147" s="118"/>
    </row>
    <row customHeight="1" ht="11.25">
      <c r="A148" s="118"/>
      <c r="B148" s="118"/>
    </row>
    <row customHeight="1" ht="11.25">
      <c r="A149" s="118"/>
      <c r="B149" s="118"/>
    </row>
    <row customHeight="1" ht="11.25">
      <c r="A150" s="118"/>
      <c r="B150" s="118"/>
    </row>
    <row customHeight="1" ht="11.25">
      <c r="A151" s="118"/>
      <c r="B151" s="118"/>
    </row>
    <row customHeight="1" ht="11.25">
      <c r="A152" s="118"/>
      <c r="B152" s="118"/>
    </row>
    <row customHeight="1" ht="11.25">
      <c r="A153" s="118"/>
      <c r="B153" s="118"/>
    </row>
    <row customHeight="1" ht="11.25">
      <c r="A154" s="118"/>
      <c r="B154" s="118"/>
    </row>
    <row customHeight="1" ht="11.25">
      <c r="A155" s="118"/>
      <c r="B155" s="118"/>
    </row>
    <row customHeight="1" ht="11.25">
      <c r="A156" s="118"/>
      <c r="B156" s="118"/>
    </row>
    <row customHeight="1" ht="11.25">
      <c r="A157" s="118"/>
      <c r="B157" s="118"/>
    </row>
    <row customHeight="1" ht="11.25">
      <c r="A158" s="118"/>
      <c r="B158" s="118"/>
    </row>
    <row customHeight="1" ht="11.25">
      <c r="A159" s="118"/>
      <c r="B159" s="118"/>
    </row>
    <row customHeight="1" ht="11.25">
      <c r="A160" s="118"/>
      <c r="B160" s="118"/>
    </row>
    <row customHeight="1" ht="11.25">
      <c r="A161" s="118"/>
      <c r="B161" s="118"/>
    </row>
    <row customHeight="1" ht="11.25">
      <c r="A162" s="118"/>
      <c r="B162" s="118"/>
    </row>
    <row customHeight="1" ht="11.25">
      <c r="A163" s="118"/>
      <c r="B163" s="118"/>
    </row>
    <row customHeight="1" ht="11.25">
      <c r="A164" s="118"/>
      <c r="B164" s="118"/>
    </row>
    <row customHeight="1" ht="11.25">
      <c r="A165" s="118"/>
      <c r="B165" s="118"/>
    </row>
    <row customHeight="1" ht="11.25">
      <c r="A166" s="118"/>
      <c r="B166" s="118"/>
    </row>
    <row customHeight="1" ht="11.25">
      <c r="A167" s="118"/>
      <c r="B167" s="118"/>
    </row>
    <row customHeight="1" ht="11.25">
      <c r="A168" s="118"/>
      <c r="B168" s="118"/>
    </row>
    <row customHeight="1" ht="11.25">
      <c r="A169" s="118"/>
      <c r="B169" s="118"/>
    </row>
    <row customHeight="1" ht="11.25">
      <c r="A170" s="118"/>
      <c r="B170" s="118"/>
    </row>
    <row customHeight="1" ht="11.25">
      <c r="A171" s="118"/>
      <c r="B171" s="118"/>
    </row>
    <row customHeight="1" ht="11.25">
      <c r="A172" s="118"/>
      <c r="B172" s="118"/>
    </row>
    <row customHeight="1" ht="11.25">
      <c r="A173" s="118"/>
      <c r="B173" s="118"/>
    </row>
    <row customHeight="1" ht="11.25">
      <c r="A174" s="118"/>
      <c r="B174" s="118"/>
    </row>
    <row customHeight="1" ht="11.25">
      <c r="A175" s="118"/>
      <c r="B175" s="118"/>
    </row>
    <row customHeight="1" ht="11.25">
      <c r="A176" s="118"/>
      <c r="B176" s="118"/>
    </row>
    <row customHeight="1" ht="11.25">
      <c r="A177" s="118"/>
      <c r="B177" s="118"/>
    </row>
    <row customHeight="1" ht="11.25">
      <c r="A178" s="118"/>
      <c r="B178" s="118"/>
    </row>
    <row customHeight="1" ht="11.25">
      <c r="A179" s="118"/>
      <c r="B179" s="118"/>
    </row>
    <row customHeight="1" ht="11.25">
      <c r="A180" s="118"/>
      <c r="B180" s="118"/>
    </row>
    <row customHeight="1" ht="11.25">
      <c r="A181" s="118"/>
      <c r="B181" s="118"/>
    </row>
    <row customHeight="1" ht="11.25">
      <c r="A182" s="118"/>
      <c r="B182" s="118"/>
    </row>
    <row customHeight="1" ht="11.25">
      <c r="A183" s="118"/>
      <c r="B183" s="118"/>
    </row>
    <row customHeight="1" ht="11.25">
      <c r="A184" s="118"/>
      <c r="B184" s="118"/>
    </row>
    <row customHeight="1" ht="11.25">
      <c r="A185" s="118"/>
      <c r="B185" s="118"/>
    </row>
    <row customHeight="1" ht="11.25">
      <c r="A186" s="118"/>
      <c r="B186" s="118"/>
    </row>
    <row customHeight="1" ht="11.25">
      <c r="A187" s="118"/>
      <c r="B187" s="118"/>
    </row>
    <row customHeight="1" ht="11.25">
      <c r="A188" s="118"/>
      <c r="B188" s="118"/>
    </row>
    <row customHeight="1" ht="11.25">
      <c r="A189" s="118"/>
      <c r="B189" s="118"/>
    </row>
    <row customHeight="1" ht="11.25">
      <c r="A190" s="118"/>
      <c r="B190" s="118"/>
    </row>
    <row customHeight="1" ht="11.25">
      <c r="A191" s="118"/>
      <c r="B191" s="118"/>
    </row>
    <row customHeight="1" ht="11.25">
      <c r="A192" s="118"/>
      <c r="B192" s="118"/>
    </row>
    <row customHeight="1" ht="11.25">
      <c r="A193" s="118"/>
      <c r="B193" s="118"/>
    </row>
    <row customHeight="1" ht="11.25">
      <c r="A194" s="118"/>
      <c r="B194" s="118"/>
    </row>
    <row customHeight="1" ht="11.25">
      <c r="A195" s="118"/>
      <c r="B195" s="118"/>
    </row>
    <row customHeight="1" ht="11.25">
      <c r="A196" s="118"/>
      <c r="B196" s="118"/>
    </row>
    <row customHeight="1" ht="11.25">
      <c r="A197" s="118"/>
      <c r="B197" s="118"/>
    </row>
    <row customHeight="1" ht="11.25">
      <c r="A198" s="118"/>
      <c r="B198" s="118"/>
    </row>
    <row customHeight="1" ht="11.25">
      <c r="A199" s="118"/>
      <c r="B199" s="118"/>
    </row>
    <row customHeight="1" ht="11.25">
      <c r="A200" s="118"/>
      <c r="B200" s="118"/>
    </row>
    <row customHeight="1" ht="11.25">
      <c r="A201" s="118"/>
      <c r="B201" s="118"/>
    </row>
    <row customHeight="1" ht="11.25">
      <c r="A202" s="118"/>
      <c r="B202" s="118"/>
    </row>
    <row customHeight="1" ht="11.25">
      <c r="A203" s="118"/>
      <c r="B203" s="118"/>
    </row>
    <row customHeight="1" ht="11.25">
      <c r="A204" s="118"/>
      <c r="B204" s="118"/>
    </row>
    <row customHeight="1" ht="11.25">
      <c r="A205" s="118"/>
      <c r="B205" s="118"/>
    </row>
    <row customHeight="1" ht="11.25">
      <c r="A206" s="118"/>
      <c r="B206" s="118"/>
    </row>
    <row customHeight="1" ht="11.25">
      <c r="A207" s="118"/>
      <c r="B207" s="118"/>
    </row>
    <row customHeight="1" ht="11.25">
      <c r="A208" s="118"/>
      <c r="B208" s="118"/>
    </row>
    <row customHeight="1" ht="11.25">
      <c r="A209" s="118"/>
      <c r="B209" s="118"/>
    </row>
    <row customHeight="1" ht="11.25">
      <c r="A210" s="118"/>
      <c r="B210" s="118"/>
    </row>
    <row customHeight="1" ht="11.25">
      <c r="A211" s="118"/>
      <c r="B211" s="118"/>
    </row>
    <row customHeight="1" ht="11.25">
      <c r="A212" s="118"/>
      <c r="B212" s="118"/>
    </row>
    <row customHeight="1" ht="11.25">
      <c r="A213" s="118"/>
      <c r="B213" s="118"/>
    </row>
    <row customHeight="1" ht="11.25">
      <c r="A214" s="118"/>
      <c r="B214" s="118"/>
    </row>
    <row customHeight="1" ht="11.25">
      <c r="A215" s="118"/>
      <c r="B215" s="118"/>
    </row>
    <row customHeight="1" ht="11.25">
      <c r="A216" s="118"/>
      <c r="B216" s="118"/>
    </row>
    <row customHeight="1" ht="11.25">
      <c r="A217" s="118"/>
      <c r="B217" s="118"/>
    </row>
    <row customHeight="1" ht="11.25">
      <c r="A218" s="118"/>
      <c r="B218" s="118"/>
    </row>
    <row customHeight="1" ht="11.25">
      <c r="A219" s="118"/>
      <c r="B219" s="118"/>
    </row>
    <row customHeight="1" ht="11.25">
      <c r="A220" s="118"/>
      <c r="B220" s="118"/>
    </row>
    <row customHeight="1" ht="11.25">
      <c r="A221" s="118"/>
      <c r="B221" s="118"/>
    </row>
    <row customHeight="1" ht="11.25">
      <c r="A222" s="118"/>
      <c r="B222" s="118"/>
    </row>
    <row customHeight="1" ht="11.25">
      <c r="A223" s="118"/>
      <c r="B223" s="118"/>
    </row>
    <row customHeight="1" ht="11.25">
      <c r="A224" s="118"/>
      <c r="B224" s="118"/>
    </row>
    <row customHeight="1" ht="11.25">
      <c r="A225" s="118"/>
      <c r="B225" s="118"/>
    </row>
    <row customHeight="1" ht="11.25">
      <c r="A226" s="118"/>
      <c r="B226" s="118"/>
    </row>
    <row customHeight="1" ht="11.25">
      <c r="A227" s="118"/>
      <c r="B227" s="118"/>
    </row>
    <row customHeight="1" ht="11.25">
      <c r="A228" s="118"/>
      <c r="B228" s="118"/>
    </row>
    <row customHeight="1" ht="11.25">
      <c r="A229" s="118"/>
      <c r="B229" s="118"/>
    </row>
    <row customHeight="1" ht="11.25">
      <c r="A230" s="118"/>
      <c r="B230" s="118"/>
    </row>
    <row customHeight="1" ht="11.25">
      <c r="A231" s="118"/>
      <c r="B231" s="118"/>
    </row>
    <row customHeight="1" ht="11.25">
      <c r="A232" s="118"/>
      <c r="B232" s="118"/>
    </row>
    <row customHeight="1" ht="11.25">
      <c r="A233" s="118"/>
      <c r="B233" s="118"/>
    </row>
    <row customHeight="1" ht="11.25">
      <c r="A234" s="118"/>
      <c r="B234" s="118"/>
    </row>
    <row customHeight="1" ht="11.25">
      <c r="A235" s="118"/>
      <c r="B235" s="118"/>
    </row>
    <row customHeight="1" ht="11.25">
      <c r="A236" s="118"/>
      <c r="B236" s="118"/>
    </row>
    <row customHeight="1" ht="11.25">
      <c r="A237" s="118"/>
      <c r="B237" s="118"/>
    </row>
    <row customHeight="1" ht="11.25">
      <c r="A238" s="118"/>
      <c r="B238" s="118"/>
    </row>
    <row customHeight="1" ht="11.25">
      <c r="A239" s="118"/>
      <c r="B239" s="118"/>
    </row>
    <row customHeight="1" ht="11.25">
      <c r="A240" s="118"/>
      <c r="B240" s="118"/>
    </row>
    <row customHeight="1" ht="11.25">
      <c r="A241" s="118"/>
      <c r="B241" s="118"/>
    </row>
    <row customHeight="1" ht="11.25">
      <c r="A242" s="118"/>
      <c r="B242" s="118"/>
    </row>
    <row customHeight="1" ht="11.25">
      <c r="A243" s="118"/>
      <c r="B243" s="118"/>
    </row>
    <row customHeight="1" ht="11.25">
      <c r="A244" s="118"/>
      <c r="B244" s="118"/>
    </row>
    <row customHeight="1" ht="11.25">
      <c r="A245" s="118"/>
      <c r="B245" s="118"/>
    </row>
    <row customHeight="1" ht="11.25">
      <c r="A246" s="118"/>
      <c r="B246" s="118"/>
    </row>
    <row customHeight="1" ht="11.25">
      <c r="A247" s="118"/>
      <c r="B247" s="118"/>
    </row>
    <row customHeight="1" ht="11.25">
      <c r="A248" s="118"/>
      <c r="B248" s="118"/>
    </row>
    <row customHeight="1" ht="11.25">
      <c r="A249" s="118"/>
      <c r="B249" s="118"/>
    </row>
    <row customHeight="1" ht="11.25">
      <c r="A250" s="118"/>
      <c r="B250" s="118"/>
    </row>
    <row customHeight="1" ht="11.25">
      <c r="A251" s="118"/>
      <c r="B251" s="118"/>
    </row>
    <row customHeight="1" ht="11.25">
      <c r="A252" s="118"/>
      <c r="B252" s="118"/>
    </row>
    <row customHeight="1" ht="11.25">
      <c r="A253" s="118"/>
      <c r="B253" s="11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1C145-9B8B-B557-16C8-367F7D1B56B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911" width="3.7109375" customWidth="1"/>
    <col min="2" max="2" style="2911" width="90.7109375" customWidth="1"/>
    <col min="3" max="4" style="2911" width="9.140625"/>
  </cols>
  <sheetData>
    <row customHeight="1" ht="11.25">
      <c r="B1" s="149" t="s">
        <v>4195</v>
      </c>
    </row>
    <row customHeight="1" ht="90">
      <c r="B2" s="150" t="s">
        <v>4196</v>
      </c>
    </row>
    <row customHeight="1" ht="67.5">
      <c r="B3" s="150" t="s">
        <v>4197</v>
      </c>
    </row>
    <row customHeight="1" ht="33.75">
      <c r="B4" s="150" t="s">
        <v>4198</v>
      </c>
    </row>
    <row customHeight="1" ht="11.25">
      <c r="B5" s="150" t="s">
        <v>4199</v>
      </c>
    </row>
    <row customHeight="1" ht="22.5">
      <c r="B6" s="150" t="s">
        <v>4200</v>
      </c>
    </row>
    <row customHeight="1" ht="22.5">
      <c r="B7" s="150" t="s">
        <v>4201</v>
      </c>
    </row>
    <row customHeight="1" ht="22.5">
      <c r="B8" s="150" t="s">
        <v>4202</v>
      </c>
    </row>
    <row customHeight="1" ht="22.5">
      <c r="B9" s="150" t="s">
        <v>4203</v>
      </c>
    </row>
    <row customHeight="1" ht="56.25">
      <c r="B10" s="150" t="s">
        <v>4204</v>
      </c>
    </row>
    <row customHeight="1" ht="12.75">
      <c r="B11" s="215" t="s">
        <v>4205</v>
      </c>
    </row>
    <row customHeight="1" ht="11.25">
      <c r="B12" s="149" t="s">
        <v>4206</v>
      </c>
    </row>
    <row customHeight="1" ht="22.5">
      <c r="B13" s="150" t="s">
        <v>4207</v>
      </c>
    </row>
    <row customHeight="1" ht="67.5">
      <c r="B14" s="150" t="s">
        <v>4208</v>
      </c>
    </row>
    <row customHeight="1" ht="22.5">
      <c r="B15" s="150" t="s">
        <v>4209</v>
      </c>
    </row>
    <row customHeight="1" ht="11.25">
      <c r="B16" s="149" t="s">
        <v>4210</v>
      </c>
      <c r="D16" s="156"/>
    </row>
    <row customHeight="1" ht="33.75">
      <c r="B17" s="150" t="s">
        <v>4211</v>
      </c>
    </row>
    <row customHeight="1" ht="33.75">
      <c r="B18" s="150" t="s">
        <v>4212</v>
      </c>
    </row>
    <row customHeight="1" ht="11.25">
      <c r="B19" s="150" t="s">
        <v>4213</v>
      </c>
    </row>
    <row customHeight="1" ht="33.75">
      <c r="B20" s="150" t="s">
        <v>4214</v>
      </c>
    </row>
    <row customHeight="1" ht="11.25">
      <c r="B21" s="149" t="s">
        <v>4215</v>
      </c>
    </row>
    <row customHeight="1" ht="11.25">
      <c r="B22" s="150" t="s">
        <v>4216</v>
      </c>
    </row>
    <row r="24" customHeight="1" ht="22.5">
      <c r="B24" s="217" t="s">
        <v>4217</v>
      </c>
    </row>
    <row r="26" customHeight="1" ht="11.25">
      <c r="B26" s="149" t="s">
        <v>4218</v>
      </c>
    </row>
    <row customHeight="1" ht="22.5">
      <c r="B27" s="216" t="s">
        <v>528</v>
      </c>
    </row>
    <row customHeight="1" ht="56.25">
      <c r="B28" s="216" t="s">
        <v>4219</v>
      </c>
    </row>
    <row customHeight="1" ht="11.25">
      <c r="B29" s="266" t="s">
        <v>4220</v>
      </c>
    </row>
    <row customHeight="1" ht="22.5">
      <c r="B30" s="216" t="s">
        <v>4221</v>
      </c>
    </row>
    <row r="32" customHeight="1" ht="11.25">
      <c r="A32" s="244"/>
      <c r="B32" s="245" t="s">
        <v>4222</v>
      </c>
    </row>
    <row customHeight="1" ht="14.25">
      <c r="A33" s="246">
        <v>1</v>
      </c>
      <c r="B33" s="247" t="s">
        <v>4223</v>
      </c>
    </row>
    <row customHeight="1" ht="14.25">
      <c r="A34" s="246">
        <v>2</v>
      </c>
      <c r="B34" s="247" t="s">
        <v>4224</v>
      </c>
    </row>
    <row customHeight="1" ht="11.25">
      <c r="B35" s="245" t="s">
        <v>4225</v>
      </c>
    </row>
    <row customHeight="1" ht="11.25">
      <c r="B36" s="247" t="s">
        <v>4226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10128D-A117-11C8-2D4C-D3709833A4DB}"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2738" width="9.140625" hidden="1" customWidth="1"/>
    <col min="2" max="2" style="2774" width="9.140625" hidden="1" customWidth="1"/>
    <col min="3" max="3" style="2949" width="3.00390625" customWidth="1"/>
    <col min="4" max="4" style="2774" width="5.00390625" customWidth="1"/>
    <col min="5" max="5" style="2774" width="38.00390625" customWidth="1"/>
    <col min="6" max="7" style="2774" width="3.00390625" customWidth="1"/>
    <col min="8" max="8" style="2774" width="38.00390625" customWidth="1"/>
    <col min="9" max="9" style="2774" width="35.00390625" customWidth="1"/>
    <col min="10" max="10" style="2774" width="103.00390625" customWidth="1"/>
    <col min="11" max="11" style="2866" width="3.00390625" customWidth="1"/>
    <col min="12" max="14" style="2851" width="10.00390625" customWidth="1"/>
    <col min="15" max="15" style="2851" width="13.00390625" customWidth="1"/>
    <col min="16" max="16" style="2851" width="15.00390625" customWidth="1"/>
    <col min="17" max="17" style="2851" width="16.00390625" customWidth="1"/>
    <col min="18" max="21" style="2851" width="10.00390625" customWidth="1"/>
    <col min="22" max="22" style="2774" width="10.57421875" hidden="1"/>
  </cols>
  <sheetData>
    <row customHeight="1" ht="22.5" hidden="1">
      <c r="E1" s="468"/>
      <c r="F1" s="468"/>
      <c r="G1" s="468"/>
      <c r="H1" s="2273" t="s">
        <v>484</v>
      </c>
      <c r="I1" s="2273"/>
      <c r="V1" s="1663" t="s">
        <v>14</v>
      </c>
    </row>
    <row s="2774" customFormat="1" customHeight="1" ht="14.25" hidden="1">
      <c r="C2" s="1675"/>
      <c r="D2" s="2289" t="s">
        <v>191</v>
      </c>
      <c r="E2" s="2291"/>
      <c r="F2" s="1681"/>
      <c r="G2" s="1676" t="s">
        <v>191</v>
      </c>
      <c r="H2" s="1679"/>
      <c r="I2" s="1677"/>
      <c r="L2" s="1678"/>
      <c r="M2" s="1678"/>
      <c r="N2" s="1678"/>
      <c r="O2" s="1678" t="s">
        <v>514</v>
      </c>
      <c r="P2" s="1678"/>
      <c r="Q2" s="1678"/>
      <c r="R2" s="1680" t="s">
        <v>513</v>
      </c>
      <c r="S2" s="1680" t="s">
        <v>513</v>
      </c>
      <c r="T2" s="1678"/>
      <c r="U2" s="1678"/>
      <c r="V2" s="1674">
        <v>0</v>
      </c>
    </row>
    <row s="2774" customFormat="1" customHeight="1" ht="14.25" hidden="1">
      <c r="C3" s="1675"/>
      <c r="D3" s="2290"/>
      <c r="E3" s="2292"/>
      <c r="F3" s="461"/>
      <c r="G3" s="925"/>
      <c r="H3" s="925" t="s">
        <v>515</v>
      </c>
      <c r="I3" s="369"/>
      <c r="L3" s="1678"/>
      <c r="M3" s="1678"/>
      <c r="N3" s="1678"/>
      <c r="O3" s="1678"/>
      <c r="P3" s="1678"/>
      <c r="Q3" s="1678"/>
      <c r="R3" s="1680"/>
      <c r="S3" s="1680"/>
      <c r="T3" s="1678"/>
      <c r="U3" s="1678"/>
      <c r="V3" s="1674">
        <v>0</v>
      </c>
    </row>
    <row customHeight="1" ht="14.25" hidden="1">
      <c r="V4" s="1663">
        <v>0</v>
      </c>
    </row>
    <row s="3401" customFormat="1" customHeight="1" ht="5.25">
      <c r="C5" s="757"/>
      <c r="D5" s="758"/>
      <c r="E5" s="758"/>
      <c r="F5" s="758"/>
      <c r="G5" s="758"/>
      <c r="H5" s="758" t="s">
        <v>488</v>
      </c>
      <c r="I5" s="758"/>
      <c r="J5" s="758"/>
      <c r="L5" s="1670"/>
      <c r="M5" s="1670"/>
      <c r="N5" s="1670"/>
      <c r="O5" s="1670"/>
      <c r="P5" s="1670"/>
      <c r="Q5" s="1670"/>
      <c r="R5" s="1670"/>
      <c r="S5" s="1670"/>
      <c r="T5" s="1670"/>
      <c r="U5" s="1670"/>
      <c r="V5" s="1669">
        <v>5</v>
      </c>
    </row>
    <row customHeight="1" ht="29.25">
      <c r="C6" s="1572"/>
      <c r="D6" s="2293" t="s">
        <v>516</v>
      </c>
      <c r="E6" s="2293"/>
      <c r="F6" s="2293"/>
      <c r="G6" s="2293"/>
      <c r="H6" s="2293"/>
      <c r="I6" s="2293"/>
      <c r="J6" s="547"/>
      <c r="K6" s="1671"/>
      <c r="V6" s="1663">
        <v>28</v>
      </c>
    </row>
    <row customHeight="1" ht="18">
      <c r="C7" s="1572"/>
      <c r="D7" s="2232" t="str">
        <f>IF(org=0,"Не определено",org)</f>
        <v>МУП ЖКХ "Родник"</v>
      </c>
      <c r="E7" s="2232"/>
      <c r="F7" s="2232"/>
      <c r="G7" s="2232"/>
      <c r="H7" s="2232"/>
      <c r="I7" s="2232"/>
      <c r="J7" s="547"/>
      <c r="K7" s="1671"/>
      <c r="V7" s="1663">
        <v>17</v>
      </c>
    </row>
    <row s="2749" customFormat="1" customHeight="1" ht="5.25">
      <c r="A8" s="1667"/>
      <c r="C8" s="542"/>
      <c r="D8" s="541"/>
      <c r="E8" s="541"/>
      <c r="F8" s="541"/>
      <c r="G8" s="541"/>
      <c r="H8" s="541"/>
      <c r="I8" s="541"/>
      <c r="J8" s="541"/>
      <c r="L8" s="1670"/>
      <c r="M8" s="1670"/>
      <c r="N8" s="1670"/>
      <c r="O8" s="1670"/>
      <c r="P8" s="1670"/>
      <c r="Q8" s="1670"/>
      <c r="R8" s="1670"/>
      <c r="S8" s="1670"/>
      <c r="T8" s="1670"/>
      <c r="U8" s="1670"/>
      <c r="V8" s="1668">
        <v>5</v>
      </c>
    </row>
    <row s="2749" customFormat="1" customHeight="1" ht="5.25">
      <c r="A9" s="1667"/>
      <c r="C9" s="542"/>
      <c r="D9" s="541"/>
      <c r="E9" s="541"/>
      <c r="F9" s="541"/>
      <c r="G9" s="541"/>
      <c r="H9" s="541"/>
      <c r="I9" s="541"/>
      <c r="J9" s="541"/>
      <c r="L9" s="1678"/>
      <c r="M9" s="1678"/>
      <c r="N9" s="1678"/>
      <c r="O9" s="1678"/>
      <c r="P9" s="1678"/>
      <c r="Q9" s="1678"/>
      <c r="R9" s="1678"/>
      <c r="S9" s="1678"/>
      <c r="T9" s="1678"/>
      <c r="U9" s="1678"/>
      <c r="V9" s="1668">
        <v>5</v>
      </c>
    </row>
    <row customHeight="1" ht="14.699999999999998">
      <c r="C10" s="1572"/>
      <c r="D10" s="2274" t="s">
        <v>432</v>
      </c>
      <c r="E10" s="2275"/>
      <c r="F10" s="2275"/>
      <c r="G10" s="2275"/>
      <c r="H10" s="2275"/>
      <c r="I10" s="2275"/>
      <c r="J10" s="2279" t="s">
        <v>433</v>
      </c>
      <c r="V10" s="1663">
        <v>14</v>
      </c>
    </row>
    <row customHeight="1" ht="27.299999999999997">
      <c r="C11" s="1572"/>
      <c r="D11" s="2183" t="s">
        <v>92</v>
      </c>
      <c r="E11" s="2279" t="s">
        <v>187</v>
      </c>
      <c r="F11" s="2248" t="s">
        <v>92</v>
      </c>
      <c r="G11" s="2249"/>
      <c r="H11" s="2231" t="s">
        <v>517</v>
      </c>
      <c r="I11" s="2231" t="s">
        <v>518</v>
      </c>
      <c r="J11" s="2279"/>
      <c r="V11" s="1663">
        <v>26</v>
      </c>
    </row>
    <row customHeight="1" ht="14.699999999999998">
      <c r="C12" s="1572"/>
      <c r="D12" s="2183"/>
      <c r="E12" s="2279"/>
      <c r="F12" s="2256"/>
      <c r="G12" s="2257"/>
      <c r="H12" s="2288"/>
      <c r="I12" s="2288"/>
      <c r="J12" s="2279"/>
      <c r="V12" s="1663">
        <v>14</v>
      </c>
    </row>
    <row s="3442" customFormat="1" customHeight="1" ht="11.25" hidden="1">
      <c r="C13" s="554"/>
      <c r="D13" s="555" t="s">
        <v>508</v>
      </c>
      <c r="E13" s="555"/>
      <c r="F13" s="555"/>
      <c r="G13" s="555"/>
      <c r="H13" s="553"/>
      <c r="I13" s="553"/>
      <c r="J13" s="491"/>
      <c r="L13" s="1670"/>
      <c r="M13" s="1670"/>
      <c r="N13" s="1670"/>
      <c r="O13" s="1670"/>
      <c r="P13" s="1670"/>
      <c r="Q13" s="1670"/>
      <c r="R13" s="1670"/>
      <c r="S13" s="1670"/>
      <c r="T13" s="1670"/>
      <c r="U13" s="1670"/>
      <c r="V13" s="552">
        <v>0</v>
      </c>
    </row>
    <row customHeight="1" ht="14.699999999999998">
      <c r="A14" s="1663"/>
      <c r="C14" s="1572"/>
      <c r="D14" s="2289" t="s">
        <v>191</v>
      </c>
      <c r="E14" s="2291"/>
      <c r="F14" s="1673"/>
      <c r="G14" s="1672" t="s">
        <v>191</v>
      </c>
      <c r="H14" s="1679"/>
      <c r="I14" s="1677"/>
      <c r="J14" s="2225" t="s">
        <v>519</v>
      </c>
      <c r="K14" s="1663"/>
      <c r="R14" s="556" t="s">
        <v>513</v>
      </c>
      <c r="S14" s="556" t="s">
        <v>513</v>
      </c>
      <c r="V14" s="1663">
        <v>14</v>
      </c>
    </row>
    <row customHeight="1" ht="14.699999999999998">
      <c r="A15" s="1663"/>
      <c r="C15" s="1572"/>
      <c r="D15" s="2290"/>
      <c r="E15" s="2292"/>
      <c r="F15" s="461"/>
      <c r="G15" s="925"/>
      <c r="H15" s="925" t="s">
        <v>515</v>
      </c>
      <c r="I15" s="369"/>
      <c r="J15" s="2226"/>
      <c r="K15" s="1663"/>
      <c r="R15" s="556"/>
      <c r="S15" s="556"/>
      <c r="V15" s="1663">
        <v>14</v>
      </c>
    </row>
    <row customHeight="1" ht="14.699999999999998">
      <c r="A16" s="1663"/>
      <c r="C16" s="1572"/>
      <c r="D16" s="461"/>
      <c r="E16" s="925" t="s">
        <v>200</v>
      </c>
      <c r="F16" s="369"/>
      <c r="G16" s="369"/>
      <c r="H16" s="462"/>
      <c r="I16" s="462"/>
      <c r="J16" s="2227"/>
      <c r="K16" s="1663"/>
      <c r="V16" s="1663">
        <v>14</v>
      </c>
    </row>
    <row customHeight="1" ht="14.699999999999998">
      <c r="K17" s="1663"/>
      <c r="V17" s="1663">
        <v>14</v>
      </c>
    </row>
    <row customHeight="1" ht="22.5" hidden="1">
      <c r="A18" s="1664" t="s">
        <v>86</v>
      </c>
      <c r="B18" s="1663">
        <v>0</v>
      </c>
      <c r="C18" s="507">
        <v>3</v>
      </c>
      <c r="D18" s="1663">
        <v>5</v>
      </c>
      <c r="E18" s="1663">
        <v>38</v>
      </c>
      <c r="F18" s="1663">
        <v>3</v>
      </c>
      <c r="G18" s="1663">
        <v>3</v>
      </c>
      <c r="H18" s="1663">
        <v>38</v>
      </c>
      <c r="I18" s="1663">
        <v>35</v>
      </c>
      <c r="J18" s="1663">
        <v>103</v>
      </c>
      <c r="K18" s="1665">
        <v>3</v>
      </c>
      <c r="L18" s="1670">
        <v>10</v>
      </c>
      <c r="M18" s="1670">
        <v>10</v>
      </c>
      <c r="N18" s="1670">
        <v>10</v>
      </c>
      <c r="O18" s="1670">
        <v>13</v>
      </c>
      <c r="P18" s="1670">
        <v>15</v>
      </c>
      <c r="Q18" s="1670">
        <v>16</v>
      </c>
      <c r="R18" s="1670">
        <v>10</v>
      </c>
      <c r="S18" s="1670">
        <v>10</v>
      </c>
      <c r="T18" s="1670">
        <v>10</v>
      </c>
      <c r="U18" s="1670">
        <v>10</v>
      </c>
      <c r="V18" s="1663">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